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arco fiscal\"/>
    </mc:Choice>
  </mc:AlternateContent>
  <bookViews>
    <workbookView xWindow="0" yWindow="0" windowWidth="28800" windowHeight="13620"/>
  </bookViews>
  <sheets>
    <sheet name="PLAN DE INVERSION POR DEPENDENC" sheetId="4" r:id="rId1"/>
  </sheets>
  <definedNames>
    <definedName name="_xlnm._FilterDatabase" localSheetId="0" hidden="1">'PLAN DE INVERSION POR DEPENDENC'!$A$1:$T$78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4" l="1"/>
  <c r="S5" i="4" l="1"/>
  <c r="T129" i="4"/>
  <c r="P46" i="4"/>
  <c r="S46" i="4"/>
  <c r="N34" i="4" l="1"/>
  <c r="E38" i="4"/>
  <c r="E34" i="4"/>
  <c r="S133" i="4" l="1"/>
  <c r="S31" i="4" l="1"/>
  <c r="T65" i="4"/>
  <c r="S23" i="4" l="1"/>
  <c r="S17" i="4" l="1"/>
  <c r="S50" i="4"/>
  <c r="T50" i="4" s="1"/>
  <c r="F46" i="4"/>
  <c r="F31" i="4"/>
  <c r="F38" i="4"/>
  <c r="S38" i="4"/>
  <c r="F5" i="4"/>
  <c r="F3" i="4" l="1"/>
  <c r="S3" i="4"/>
  <c r="S54" i="4" l="1"/>
  <c r="H45" i="4" l="1"/>
  <c r="T75" i="4" l="1"/>
  <c r="T74" i="4"/>
  <c r="T72" i="4"/>
  <c r="T71" i="4"/>
  <c r="T70" i="4"/>
  <c r="T69" i="4"/>
  <c r="T68" i="4"/>
  <c r="T67" i="4"/>
  <c r="T66" i="4"/>
  <c r="T63" i="4"/>
  <c r="T62" i="4"/>
  <c r="T61" i="4"/>
  <c r="T59" i="4"/>
  <c r="T56" i="4"/>
  <c r="T55" i="4"/>
  <c r="T53" i="4"/>
  <c r="T49" i="4"/>
  <c r="T47" i="4"/>
  <c r="T42" i="4"/>
  <c r="T40" i="4"/>
  <c r="T34" i="4"/>
  <c r="T32" i="4"/>
  <c r="T28" i="4"/>
  <c r="T26" i="4"/>
  <c r="T24" i="4"/>
  <c r="T20" i="4"/>
  <c r="T19" i="4"/>
  <c r="T18" i="4"/>
  <c r="T16" i="4"/>
  <c r="T15" i="4"/>
  <c r="T14" i="4"/>
  <c r="T12" i="4"/>
  <c r="T11" i="4"/>
  <c r="T9" i="4"/>
  <c r="T8" i="4"/>
  <c r="S7" i="4"/>
  <c r="T7" i="4" l="1"/>
  <c r="T51" i="4"/>
  <c r="T73" i="4" l="1"/>
  <c r="M48" i="4" l="1"/>
  <c r="T38" i="4" l="1"/>
  <c r="R33" i="4"/>
  <c r="F54" i="4" l="1"/>
  <c r="T54" i="4" l="1"/>
  <c r="W5" i="4"/>
  <c r="W6" i="4" s="1"/>
  <c r="T57" i="4" l="1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54" i="4"/>
  <c r="V53" i="4"/>
  <c r="V50" i="4"/>
  <c r="V44" i="4"/>
  <c r="V42" i="4"/>
  <c r="V43" i="4" s="1"/>
  <c r="V38" i="4"/>
  <c r="V37" i="4"/>
  <c r="V36" i="4"/>
  <c r="V35" i="4"/>
  <c r="V34" i="4"/>
  <c r="V32" i="4"/>
  <c r="V26" i="4"/>
  <c r="V25" i="4"/>
  <c r="V24" i="4"/>
  <c r="V23" i="4"/>
  <c r="V20" i="4"/>
  <c r="V18" i="4"/>
  <c r="V17" i="4"/>
  <c r="V16" i="4"/>
  <c r="V15" i="4"/>
  <c r="V14" i="4"/>
  <c r="V12" i="4"/>
  <c r="V11" i="4"/>
  <c r="V9" i="4"/>
  <c r="V8" i="4"/>
  <c r="H6" i="4"/>
  <c r="T44" i="4"/>
  <c r="T37" i="4"/>
  <c r="T36" i="4"/>
  <c r="T35" i="4"/>
  <c r="V56" i="4"/>
  <c r="V40" i="4"/>
  <c r="V41" i="4" s="1"/>
  <c r="V31" i="4"/>
  <c r="V28" i="4"/>
  <c r="V29" i="4" s="1"/>
  <c r="V3" i="4"/>
  <c r="V4" i="4" s="1"/>
  <c r="V19" i="4"/>
  <c r="V61" i="4"/>
  <c r="V59" i="4"/>
  <c r="V60" i="4" s="1"/>
  <c r="V49" i="4"/>
  <c r="V46" i="4"/>
  <c r="V5" i="4"/>
  <c r="V6" i="4" s="1"/>
  <c r="V55" i="4"/>
  <c r="V51" i="4" l="1"/>
  <c r="V57" i="4"/>
  <c r="V58" i="4" s="1"/>
  <c r="V13" i="4"/>
  <c r="V39" i="4"/>
  <c r="V76" i="4"/>
  <c r="V77" i="4" s="1"/>
  <c r="V21" i="4"/>
  <c r="V45" i="4"/>
  <c r="V48" i="4" s="1"/>
  <c r="V27" i="4"/>
  <c r="V30" i="4" s="1"/>
  <c r="V33" i="4"/>
  <c r="V7" i="4"/>
  <c r="V10" i="4" s="1"/>
  <c r="V22" i="4" l="1"/>
  <c r="V52" i="4"/>
  <c r="I17" i="4"/>
  <c r="T17" i="4" l="1"/>
  <c r="V78" i="4"/>
  <c r="U75" i="4" l="1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44" i="4"/>
  <c r="U42" i="4"/>
  <c r="U43" i="4" s="1"/>
  <c r="U37" i="4"/>
  <c r="U36" i="4"/>
  <c r="U35" i="4"/>
  <c r="U34" i="4"/>
  <c r="U32" i="4"/>
  <c r="U28" i="4"/>
  <c r="U29" i="4" s="1"/>
  <c r="U26" i="4"/>
  <c r="U25" i="4"/>
  <c r="U20" i="4"/>
  <c r="U18" i="4"/>
  <c r="U17" i="4"/>
  <c r="U16" i="4"/>
  <c r="U15" i="4"/>
  <c r="U14" i="4"/>
  <c r="U12" i="4"/>
  <c r="U11" i="4"/>
  <c r="U9" i="4"/>
  <c r="U8" i="4"/>
  <c r="U5" i="4"/>
  <c r="U6" i="4" s="1"/>
  <c r="T60" i="4"/>
  <c r="U13" i="4" l="1"/>
  <c r="T39" i="4"/>
  <c r="J10" i="4"/>
  <c r="K10" i="4"/>
  <c r="L10" i="4"/>
  <c r="M10" i="4"/>
  <c r="N10" i="4"/>
  <c r="O10" i="4"/>
  <c r="P10" i="4"/>
  <c r="Q10" i="4"/>
  <c r="R10" i="4"/>
  <c r="I10" i="4"/>
  <c r="U61" i="4"/>
  <c r="U76" i="4" s="1"/>
  <c r="U56" i="4"/>
  <c r="U50" i="4"/>
  <c r="U46" i="4"/>
  <c r="U40" i="4"/>
  <c r="U41" i="4" s="1"/>
  <c r="U19" i="4"/>
  <c r="U21" i="4" s="1"/>
  <c r="U55" i="4"/>
  <c r="U54" i="4"/>
  <c r="U53" i="4"/>
  <c r="U49" i="4"/>
  <c r="U31" i="4"/>
  <c r="U33" i="4" s="1"/>
  <c r="U24" i="4"/>
  <c r="F21" i="4"/>
  <c r="U38" i="4"/>
  <c r="U39" i="4" s="1"/>
  <c r="E10" i="4"/>
  <c r="U23" i="4" l="1"/>
  <c r="U27" i="4" s="1"/>
  <c r="U30" i="4" s="1"/>
  <c r="U51" i="4"/>
  <c r="U59" i="4"/>
  <c r="U60" i="4" s="1"/>
  <c r="U77" i="4" s="1"/>
  <c r="U3" i="4"/>
  <c r="U4" i="4" s="1"/>
  <c r="U57" i="4"/>
  <c r="U58" i="4" s="1"/>
  <c r="U7" i="4"/>
  <c r="U10" i="4" s="1"/>
  <c r="U45" i="4"/>
  <c r="U48" i="4" s="1"/>
  <c r="R4" i="4"/>
  <c r="R6" i="4"/>
  <c r="S6" i="4"/>
  <c r="R13" i="4"/>
  <c r="S13" i="4"/>
  <c r="R21" i="4"/>
  <c r="S21" i="4"/>
  <c r="S25" i="4"/>
  <c r="R27" i="4"/>
  <c r="R29" i="4"/>
  <c r="S29" i="4"/>
  <c r="S33" i="4"/>
  <c r="R39" i="4"/>
  <c r="S39" i="4"/>
  <c r="R41" i="4"/>
  <c r="S41" i="4"/>
  <c r="R43" i="4"/>
  <c r="S43" i="4"/>
  <c r="R48" i="4"/>
  <c r="S48" i="4"/>
  <c r="R51" i="4"/>
  <c r="S51" i="4"/>
  <c r="R57" i="4"/>
  <c r="R58" i="4" s="1"/>
  <c r="S57" i="4"/>
  <c r="R60" i="4"/>
  <c r="S60" i="4"/>
  <c r="R76" i="4"/>
  <c r="S76" i="4"/>
  <c r="T25" i="4" l="1"/>
  <c r="S58" i="4"/>
  <c r="U22" i="4"/>
  <c r="U52" i="4"/>
  <c r="S10" i="4"/>
  <c r="S4" i="4"/>
  <c r="R30" i="4"/>
  <c r="S27" i="4"/>
  <c r="S52" i="4"/>
  <c r="S77" i="4"/>
  <c r="R52" i="4"/>
  <c r="R77" i="4"/>
  <c r="R22" i="4"/>
  <c r="R78" i="4" l="1"/>
  <c r="S30" i="4"/>
  <c r="U78" i="4"/>
  <c r="S22" i="4"/>
  <c r="S78" i="4" l="1"/>
  <c r="E27" i="4"/>
  <c r="F27" i="4"/>
  <c r="G27" i="4"/>
  <c r="I27" i="4"/>
  <c r="J27" i="4"/>
  <c r="K27" i="4"/>
  <c r="L27" i="4"/>
  <c r="M27" i="4"/>
  <c r="N27" i="4"/>
  <c r="O27" i="4"/>
  <c r="P27" i="4"/>
  <c r="Q27" i="4"/>
  <c r="I51" i="4"/>
  <c r="J51" i="4"/>
  <c r="K51" i="4"/>
  <c r="L51" i="4"/>
  <c r="M51" i="4"/>
  <c r="N51" i="4"/>
  <c r="O51" i="4"/>
  <c r="P51" i="4"/>
  <c r="Q51" i="4"/>
  <c r="E51" i="4"/>
  <c r="F51" i="4"/>
  <c r="G51" i="4"/>
  <c r="H51" i="4"/>
  <c r="G48" i="4"/>
  <c r="I48" i="4"/>
  <c r="J48" i="4"/>
  <c r="K48" i="4"/>
  <c r="L48" i="4"/>
  <c r="N48" i="4"/>
  <c r="O48" i="4"/>
  <c r="P48" i="4"/>
  <c r="Q48" i="4"/>
  <c r="E48" i="4"/>
  <c r="F39" i="4"/>
  <c r="G39" i="4"/>
  <c r="H39" i="4"/>
  <c r="I39" i="4"/>
  <c r="J39" i="4"/>
  <c r="K39" i="4"/>
  <c r="L39" i="4"/>
  <c r="M39" i="4"/>
  <c r="N39" i="4"/>
  <c r="O39" i="4"/>
  <c r="P39" i="4"/>
  <c r="Q39" i="4"/>
  <c r="E39" i="4"/>
  <c r="F76" i="4"/>
  <c r="G76" i="4"/>
  <c r="I76" i="4"/>
  <c r="J76" i="4"/>
  <c r="K76" i="4"/>
  <c r="L76" i="4"/>
  <c r="M76" i="4"/>
  <c r="N76" i="4"/>
  <c r="O76" i="4"/>
  <c r="P76" i="4"/>
  <c r="Q76" i="4"/>
  <c r="F13" i="4"/>
  <c r="G13" i="4"/>
  <c r="H13" i="4"/>
  <c r="J13" i="4"/>
  <c r="K13" i="4"/>
  <c r="L13" i="4"/>
  <c r="M13" i="4"/>
  <c r="N13" i="4"/>
  <c r="O13" i="4"/>
  <c r="P13" i="4"/>
  <c r="Q13" i="4"/>
  <c r="H10" i="4"/>
  <c r="F10" i="4"/>
  <c r="G10" i="4"/>
  <c r="S132" i="4" l="1"/>
  <c r="S134" i="4" s="1"/>
  <c r="H64" i="4"/>
  <c r="T64" i="4" s="1"/>
  <c r="Q60" i="4"/>
  <c r="P60" i="4"/>
  <c r="P77" i="4" s="1"/>
  <c r="O60" i="4"/>
  <c r="O77" i="4" s="1"/>
  <c r="N60" i="4"/>
  <c r="N77" i="4" s="1"/>
  <c r="M60" i="4"/>
  <c r="L60" i="4"/>
  <c r="L77" i="4" s="1"/>
  <c r="K60" i="4"/>
  <c r="J60" i="4"/>
  <c r="I60" i="4"/>
  <c r="H60" i="4"/>
  <c r="G60" i="4"/>
  <c r="G77" i="4" s="1"/>
  <c r="F60" i="4"/>
  <c r="E60" i="4"/>
  <c r="Q57" i="4"/>
  <c r="Q58" i="4" s="1"/>
  <c r="P57" i="4"/>
  <c r="P58" i="4" s="1"/>
  <c r="O57" i="4"/>
  <c r="O58" i="4" s="1"/>
  <c r="N57" i="4"/>
  <c r="N58" i="4" s="1"/>
  <c r="M57" i="4"/>
  <c r="M58" i="4" s="1"/>
  <c r="L57" i="4"/>
  <c r="L58" i="4" s="1"/>
  <c r="K57" i="4"/>
  <c r="K58" i="4" s="1"/>
  <c r="J57" i="4"/>
  <c r="J58" i="4" s="1"/>
  <c r="I57" i="4"/>
  <c r="I58" i="4" s="1"/>
  <c r="H57" i="4"/>
  <c r="H58" i="4" s="1"/>
  <c r="G57" i="4"/>
  <c r="G58" i="4" s="1"/>
  <c r="F57" i="4"/>
  <c r="F58" i="4" s="1"/>
  <c r="E57" i="4"/>
  <c r="E58" i="4" s="1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41" i="4"/>
  <c r="Q33" i="4"/>
  <c r="P33" i="4"/>
  <c r="O33" i="4"/>
  <c r="N33" i="4"/>
  <c r="M33" i="4"/>
  <c r="L33" i="4"/>
  <c r="K33" i="4"/>
  <c r="J33" i="4"/>
  <c r="I33" i="4"/>
  <c r="G33" i="4"/>
  <c r="F33" i="4"/>
  <c r="E33" i="4"/>
  <c r="H31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E30" i="4" s="1"/>
  <c r="H23" i="4"/>
  <c r="Q21" i="4"/>
  <c r="P21" i="4"/>
  <c r="O21" i="4"/>
  <c r="N21" i="4"/>
  <c r="M21" i="4"/>
  <c r="L21" i="4"/>
  <c r="K21" i="4"/>
  <c r="J21" i="4"/>
  <c r="I21" i="4"/>
  <c r="H21" i="4"/>
  <c r="G21" i="4"/>
  <c r="E21" i="4"/>
  <c r="I13" i="4"/>
  <c r="E13" i="4"/>
  <c r="Q6" i="4"/>
  <c r="P6" i="4"/>
  <c r="O6" i="4"/>
  <c r="N6" i="4"/>
  <c r="M6" i="4"/>
  <c r="L6" i="4"/>
  <c r="K6" i="4"/>
  <c r="J6" i="4"/>
  <c r="I6" i="4"/>
  <c r="G6" i="4"/>
  <c r="F6" i="4"/>
  <c r="E5" i="4"/>
  <c r="Q4" i="4"/>
  <c r="P4" i="4"/>
  <c r="O4" i="4"/>
  <c r="N4" i="4"/>
  <c r="M4" i="4"/>
  <c r="L4" i="4"/>
  <c r="K4" i="4"/>
  <c r="J4" i="4"/>
  <c r="H4" i="4"/>
  <c r="G4" i="4"/>
  <c r="F4" i="4"/>
  <c r="I3" i="4"/>
  <c r="E3" i="4"/>
  <c r="T3" i="4" l="1"/>
  <c r="T5" i="4"/>
  <c r="T45" i="4"/>
  <c r="T46" i="4"/>
  <c r="T31" i="4"/>
  <c r="T23" i="4"/>
  <c r="E4" i="4"/>
  <c r="H48" i="4"/>
  <c r="H27" i="4"/>
  <c r="H30" i="4" s="1"/>
  <c r="I4" i="4"/>
  <c r="I22" i="4" s="1"/>
  <c r="T58" i="4"/>
  <c r="P30" i="4"/>
  <c r="H76" i="4"/>
  <c r="Q30" i="4"/>
  <c r="F48" i="4"/>
  <c r="F30" i="4"/>
  <c r="K77" i="4"/>
  <c r="T10" i="4"/>
  <c r="J30" i="4"/>
  <c r="M30" i="4"/>
  <c r="J52" i="4"/>
  <c r="H22" i="4"/>
  <c r="I30" i="4"/>
  <c r="N30" i="4"/>
  <c r="F77" i="4"/>
  <c r="J77" i="4"/>
  <c r="Q52" i="4"/>
  <c r="T21" i="4"/>
  <c r="E52" i="4"/>
  <c r="N22" i="4"/>
  <c r="E6" i="4"/>
  <c r="M22" i="4"/>
  <c r="L30" i="4"/>
  <c r="N52" i="4"/>
  <c r="I52" i="4"/>
  <c r="P52" i="4"/>
  <c r="T43" i="4"/>
  <c r="M52" i="4"/>
  <c r="T29" i="4"/>
  <c r="L22" i="4"/>
  <c r="P22" i="4"/>
  <c r="Q22" i="4"/>
  <c r="T13" i="4"/>
  <c r="F22" i="4"/>
  <c r="J22" i="4"/>
  <c r="L52" i="4"/>
  <c r="H33" i="4"/>
  <c r="G52" i="4"/>
  <c r="K52" i="4"/>
  <c r="O52" i="4"/>
  <c r="I77" i="4"/>
  <c r="M77" i="4"/>
  <c r="Q77" i="4"/>
  <c r="G22" i="4"/>
  <c r="K22" i="4"/>
  <c r="O22" i="4"/>
  <c r="G30" i="4"/>
  <c r="K30" i="4"/>
  <c r="O30" i="4"/>
  <c r="P78" i="4" l="1"/>
  <c r="O78" i="4"/>
  <c r="L78" i="4"/>
  <c r="H77" i="4"/>
  <c r="T27" i="4"/>
  <c r="J78" i="4"/>
  <c r="G78" i="4"/>
  <c r="T33" i="4"/>
  <c r="N78" i="4"/>
  <c r="K78" i="4"/>
  <c r="Q78" i="4"/>
  <c r="M78" i="4"/>
  <c r="I78" i="4"/>
  <c r="T6" i="4"/>
  <c r="T76" i="4"/>
  <c r="F52" i="4"/>
  <c r="T48" i="4"/>
  <c r="H52" i="4"/>
  <c r="E22" i="4"/>
  <c r="T4" i="4"/>
  <c r="H78" i="4" l="1"/>
  <c r="T52" i="4"/>
  <c r="T77" i="4"/>
  <c r="F78" i="4"/>
  <c r="T30" i="4"/>
  <c r="T22" i="4"/>
  <c r="T78" i="4" l="1"/>
  <c r="T130" i="4" l="1"/>
  <c r="T128" i="4"/>
  <c r="E76" i="4" l="1"/>
  <c r="E77" i="4" l="1"/>
  <c r="E78" i="4" s="1"/>
</calcChain>
</file>

<file path=xl/sharedStrings.xml><?xml version="1.0" encoding="utf-8"?>
<sst xmlns="http://schemas.openxmlformats.org/spreadsheetml/2006/main" count="153" uniqueCount="120">
  <si>
    <t>PACTOS</t>
  </si>
  <si>
    <t>RUTA ESPECIALIZADA</t>
  </si>
  <si>
    <t>PROGRAMAS</t>
  </si>
  <si>
    <t>RECURSOS PROPIOS</t>
  </si>
  <si>
    <t>SISTEMA GENERAL DE PARTICIPACIONES</t>
  </si>
  <si>
    <t>SOBRETASA A LA GASOLINA</t>
  </si>
  <si>
    <t>RECURSOS PROPIOS- DESTINACION ESPECIFICA Y FONDOS ESPECIALES</t>
  </si>
  <si>
    <t>ESTAMPILLA ADULTO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</si>
  <si>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</si>
  <si>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</si>
  <si>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</si>
  <si>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</si>
  <si>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</si>
  <si>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</si>
  <si>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</si>
  <si>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PACTO POR LOS DERECHOS SOCIALES</t>
  </si>
  <si>
    <t>EDUCACIÓN</t>
  </si>
  <si>
    <t>Escuela y educación pertinente para la paz,  la convivencia, la equidad  y el desarrollo</t>
  </si>
  <si>
    <t>Subtotal</t>
  </si>
  <si>
    <t xml:space="preserve">SALUD </t>
  </si>
  <si>
    <t xml:space="preserve">Salud humanista </t>
  </si>
  <si>
    <t>CULTURA</t>
  </si>
  <si>
    <t xml:space="preserve">Pasto, territorio creativo y cultural </t>
  </si>
  <si>
    <t>Patrimonio símbolo de identidad</t>
  </si>
  <si>
    <t>RECREACION Y DEPORTE</t>
  </si>
  <si>
    <t>Pasto saludable deportivo, recreativo e incluyente para la paz</t>
  </si>
  <si>
    <t xml:space="preserve">INCLUSION SOCIAL PARA CERRAR BRECHAS </t>
  </si>
  <si>
    <t>TOTAL PACTO</t>
  </si>
  <si>
    <t xml:space="preserve">PACTO POR LA SEGURIDAD,  CONVIVENCIA Y PAZ </t>
  </si>
  <si>
    <t xml:space="preserve">SEGURIDAD, JUSTICIA Y CONVIVENCIA HACIA LA PAZ </t>
  </si>
  <si>
    <t xml:space="preserve">Alumbrado público y electrificación rural </t>
  </si>
  <si>
    <t>PREVENCION, PROTECCION, ATENCION, ASISTENCIA Y REPARACION INTEGRAL DE VICTIMAS</t>
  </si>
  <si>
    <t>PACTO CON LA NATURALEZA</t>
  </si>
  <si>
    <t>GESTION AMBIENTAL MUNICIPAL</t>
  </si>
  <si>
    <t>Conservación y sostenibilidad de los territorios</t>
  </si>
  <si>
    <t xml:space="preserve">Cambio climatico </t>
  </si>
  <si>
    <t>AGUA POTABLE Y SANEAMIENTO BASICO</t>
  </si>
  <si>
    <t>Fondo de solidaridad y redistribución del ingreso</t>
  </si>
  <si>
    <t>GESTION INTEGRAL DEL RIESGO</t>
  </si>
  <si>
    <t>Gestión integral del riesgo de desastres</t>
  </si>
  <si>
    <t>VIVIENDA</t>
  </si>
  <si>
    <t>Vivienda digna</t>
  </si>
  <si>
    <t>MOVILIDAD Y TRANSPORTE</t>
  </si>
  <si>
    <t xml:space="preserve">Seguridad vial y movilidad </t>
  </si>
  <si>
    <t>Plan maestro de movilidad</t>
  </si>
  <si>
    <t>ESPACIO PÚBLICO INCLUYENTE COMO ESCENARIO DE CONVIVENCIA, SENSIBILIDAD Y CONCIENCIA SOCIAL PARA LA PAZ.</t>
  </si>
  <si>
    <t>PACTO POR UN DESARROLLO ECONOMICO LOCAL E INCLUYENTE</t>
  </si>
  <si>
    <t>ECONÓMICO</t>
  </si>
  <si>
    <t>Por una ruralidad sostenible, agroecológica y equitativa</t>
  </si>
  <si>
    <t xml:space="preserve">Fortalecimiento empresarial, empleo decente, emprendimiento y generación de ingresos con enfoque de género y generacional. </t>
  </si>
  <si>
    <t>Infraestructura para la inclusión económica</t>
  </si>
  <si>
    <t>Fortalecimiento integral de las plazas de mercado</t>
  </si>
  <si>
    <t>PACTO POR UN GOBIERNO ABIERTO Y PARTICIPATIVO</t>
  </si>
  <si>
    <t>FORTALECIMIENTO DEL DESARROLLO SOCIAL COMUNITARIO</t>
  </si>
  <si>
    <t>Hacia un gobierno con modelo de gestión abierto, incidente y participativo</t>
  </si>
  <si>
    <t xml:space="preserve">BUEN GOBIERNO </t>
  </si>
  <si>
    <t>Fortalecimiento del Buen Gobierno</t>
  </si>
  <si>
    <t>TOTAL INVERSION</t>
  </si>
  <si>
    <t>ESTAMPILLA ELECTRIFICACIÓN</t>
  </si>
  <si>
    <t>ESTAMPILLA PROCULTURA</t>
  </si>
  <si>
    <t>TOTAL 2019</t>
  </si>
  <si>
    <t>RENDIMIENTOS FINANCIEROS Y OTROS (EXCEDENTES Y UTILIDADES)</t>
  </si>
  <si>
    <t>DEPENDENCIA</t>
  </si>
  <si>
    <t>Oficina de Asuntos Internacionales</t>
  </si>
  <si>
    <t>Oficina de Planeación de Gestión Institucional</t>
  </si>
  <si>
    <t>Secretaría de Desarrollo Comunitario</t>
  </si>
  <si>
    <t>Oficina de Control Interno</t>
  </si>
  <si>
    <t>Secretaría de Planeación</t>
  </si>
  <si>
    <t>Oficina Jurídica</t>
  </si>
  <si>
    <t>Secretaría de Hacienda</t>
  </si>
  <si>
    <t>Secretaría General - Sisben</t>
  </si>
  <si>
    <t>Oficina de Comunicación Social</t>
  </si>
  <si>
    <t>Secretaría General - Subsecretaría de Sistemas</t>
  </si>
  <si>
    <t>Secretaría de Educación</t>
  </si>
  <si>
    <t>Secretaría de Salud</t>
  </si>
  <si>
    <t>Secretaría de Infraestructura</t>
  </si>
  <si>
    <t>Secretaría de Cultura</t>
  </si>
  <si>
    <t>Corporcarnaval</t>
  </si>
  <si>
    <t>Pasto Deporte</t>
  </si>
  <si>
    <t>Dirección de Juventud</t>
  </si>
  <si>
    <t>Secretaría de las mujeres, orientaciones sexuales e identidades de género</t>
  </si>
  <si>
    <t>Secretaría de Bienestar Social</t>
  </si>
  <si>
    <t>Secretaría de Gobierno</t>
  </si>
  <si>
    <t>Secretaría de Gobierno - PAV</t>
  </si>
  <si>
    <t>Comisión de Paz</t>
  </si>
  <si>
    <t>Secretaría de Gestión Ambiental</t>
  </si>
  <si>
    <t>Empopasto</t>
  </si>
  <si>
    <t>Emas</t>
  </si>
  <si>
    <t>Convenio Encano</t>
  </si>
  <si>
    <t>Convenio acueduto rural</t>
  </si>
  <si>
    <t>Dirección de Gestión del Riesgo de Desastres</t>
  </si>
  <si>
    <t>INVIPASTO</t>
  </si>
  <si>
    <t>Secretaría de Transito y Transporte</t>
  </si>
  <si>
    <t>AVANTE SETP</t>
  </si>
  <si>
    <t>Dirección de Espacio Público</t>
  </si>
  <si>
    <t>Secretaría de Agricultura</t>
  </si>
  <si>
    <t>Secretaría de Desarrollo Económico</t>
  </si>
  <si>
    <t>Dirección Administrativa de Plazas de Mercado</t>
  </si>
  <si>
    <t>Pasto, territorio de protección de derechos y equidad para las mujeres</t>
  </si>
  <si>
    <t>Pasto ciudad educada en protección de derechos e inclusión de población LGBTI</t>
  </si>
  <si>
    <t>Ideas jóvenes para el Desarrollo</t>
  </si>
  <si>
    <t xml:space="preserve">Primera infancia, infancia y  adolescencia. </t>
  </si>
  <si>
    <t>Atención e inclusión social  para adultos mayores</t>
  </si>
  <si>
    <t>Atención e inclusión social  para personas con  discapacidad para la población del sector urbano y rural.</t>
  </si>
  <si>
    <t>Pasto, territorio educado en protección de derechos e inclusión de  habitantes de calle.</t>
  </si>
  <si>
    <t>Derechos humanos, seguridad, convivencia y justicia para la paz</t>
  </si>
  <si>
    <t xml:space="preserve">Pasto Construyendo Paz </t>
  </si>
  <si>
    <t xml:space="preserve">Atención integral a víctimas del conflicto armado </t>
  </si>
  <si>
    <t>Manejo Integral del Agua y saneamiento básico urbano, rural y sub urbano</t>
  </si>
  <si>
    <t>Espacio público incluyente en armonía con el territorio</t>
  </si>
  <si>
    <t>SEPAL</t>
  </si>
  <si>
    <t xml:space="preserve">Estratificación </t>
  </si>
  <si>
    <t>Secretaría General - Archivo</t>
  </si>
  <si>
    <t xml:space="preserve">Departamento de Contratación </t>
  </si>
  <si>
    <t>Secretaría General - Almacen</t>
  </si>
  <si>
    <t>Secretaría General - Bienes inmuebles</t>
  </si>
  <si>
    <t>Secretaría General - Equipamiento</t>
  </si>
  <si>
    <t>TOTAL PPI</t>
  </si>
  <si>
    <t>TOTAL PRESUPUESTO 2018</t>
  </si>
  <si>
    <t>Revisar el credito 1.000 miil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</si>
</sst>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* #,##0.00_);_(* \(#,##0.00\);_(* &quot;-&quot;??_);_(@_)"/>
    <numFmt numFmtId="166" formatCode="_(* #,##0_);_(* \(#,##0\);_(* &quot;-&quot;??_);_(@_)"/>
    <numFmt numFmtId="167" formatCode="#,##0.00000"/>
    <numFmt numFmtId="168" formatCode="_-* #,##0.00\ _P_t_s_-;\-* #,##0.00\ _P_t_s_-;_-* &quot;-&quot;??\ _P_t_s_-;_-@_-"/>
    <numFmt numFmtId="169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/>
    <xf numFmtId="3" fontId="4" fillId="0" borderId="1" xfId="2" applyNumberFormat="1" applyFont="1" applyFill="1" applyBorder="1" applyAlignment="1">
      <alignment horizontal="right" vertical="center" wrapText="1"/>
    </xf>
    <xf numFmtId="166" fontId="4" fillId="0" borderId="1" xfId="4" applyNumberFormat="1" applyFont="1" applyFill="1" applyBorder="1" applyAlignment="1">
      <alignment vertical="center" wrapText="1"/>
    </xf>
    <xf numFmtId="166" fontId="4" fillId="0" borderId="1" xfId="2" applyNumberFormat="1" applyFont="1" applyFill="1" applyBorder="1" applyAlignment="1">
      <alignment vertical="center" wrapText="1"/>
    </xf>
    <xf numFmtId="166" fontId="4" fillId="0" borderId="1" xfId="2" applyNumberFormat="1" applyFont="1" applyFill="1" applyBorder="1" applyAlignment="1">
      <alignment horizontal="right" vertical="center" wrapText="1"/>
    </xf>
    <xf numFmtId="166" fontId="4" fillId="0" borderId="1" xfId="4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right" vertical="center" wrapText="1"/>
    </xf>
    <xf numFmtId="166" fontId="4" fillId="0" borderId="1" xfId="1" applyNumberFormat="1" applyFont="1" applyFill="1" applyBorder="1" applyAlignment="1">
      <alignment horizontal="right" vertical="center" wrapText="1"/>
    </xf>
    <xf numFmtId="168" fontId="4" fillId="0" borderId="1" xfId="4" applyFont="1" applyFill="1" applyBorder="1" applyAlignment="1">
      <alignment vertical="center" wrapText="1"/>
    </xf>
    <xf numFmtId="3" fontId="4" fillId="0" borderId="1" xfId="3" applyNumberFormat="1" applyFont="1" applyFill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left" vertical="center" wrapText="1"/>
    </xf>
    <xf numFmtId="0" fontId="4" fillId="0" borderId="0" xfId="2" applyFont="1" applyFill="1" applyAlignment="1">
      <alignment vertical="center"/>
    </xf>
    <xf numFmtId="166" fontId="5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/>
    </xf>
    <xf numFmtId="166" fontId="4" fillId="0" borderId="0" xfId="2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41" fontId="4" fillId="0" borderId="1" xfId="5" applyFont="1" applyFill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67" fontId="4" fillId="0" borderId="0" xfId="2" applyNumberFormat="1" applyFont="1" applyFill="1" applyAlignment="1">
      <alignment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" fontId="5" fillId="0" borderId="5" xfId="2" applyNumberFormat="1" applyFont="1" applyFill="1" applyBorder="1" applyAlignment="1">
      <alignment horizontal="center" vertical="center" wrapText="1"/>
    </xf>
    <xf numFmtId="3" fontId="5" fillId="0" borderId="4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right" vertical="center" wrapText="1"/>
    </xf>
    <xf numFmtId="166" fontId="4" fillId="0" borderId="1" xfId="1" applyNumberFormat="1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vertical="center"/>
    </xf>
    <xf numFmtId="166" fontId="5" fillId="0" borderId="1" xfId="4" applyNumberFormat="1" applyFont="1" applyFill="1" applyBorder="1" applyAlignment="1">
      <alignment vertical="center" wrapText="1"/>
    </xf>
    <xf numFmtId="166" fontId="5" fillId="0" borderId="1" xfId="4" applyNumberFormat="1" applyFont="1" applyFill="1" applyBorder="1" applyAlignment="1">
      <alignment vertical="center"/>
    </xf>
    <xf numFmtId="169" fontId="5" fillId="0" borderId="1" xfId="4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left" vertical="center" wrapText="1"/>
    </xf>
    <xf numFmtId="3" fontId="4" fillId="0" borderId="1" xfId="3" applyNumberFormat="1" applyFont="1" applyFill="1" applyBorder="1" applyAlignment="1">
      <alignment horizontal="left" vertical="center" wrapText="1"/>
    </xf>
    <xf numFmtId="3" fontId="4" fillId="0" borderId="5" xfId="2" applyNumberFormat="1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horizontal="left" vertical="center" wrapText="1"/>
    </xf>
  </cellXfs>
  <cellStyles count="6">
    <cellStyle name="Millares" xfId="1" builtinId="3"/>
    <cellStyle name="Millares [0]" xfId="5" builtinId="6"/>
    <cellStyle name="Millares 2" xfId="4"/>
    <cellStyle name="Normal" xfId="0" builtinId="0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tabSelected="1" topLeftCell="B1" zoomScale="180" zoomScaleNormal="180" workbookViewId="0">
      <pane xSplit="3" ySplit="2" topLeftCell="E69" activePane="bottomRight" state="frozen"/>
      <selection activeCell="B1" sqref="B1"/>
      <selection pane="topRight" activeCell="E1" sqref="E1"/>
      <selection pane="bottomLeft" activeCell="B3" sqref="B3"/>
      <selection pane="bottomRight" activeCell="A78" sqref="A78:D78"/>
    </sheetView>
  </sheetViews>
  <sheetFormatPr baseColWidth="10" defaultColWidth="11.42578125" defaultRowHeight="8.25" x14ac:dyDescent="0.25"/>
  <cols>
    <col min="1" max="2" width="0" style="14" hidden="1" customWidth="1"/>
    <col min="3" max="3" width="11.85546875" style="16" customWidth="1"/>
    <col min="4" max="4" width="10.28515625" style="16" customWidth="1"/>
    <col min="5" max="5" width="8.7109375" style="14" customWidth="1"/>
    <col min="6" max="6" width="8.5703125" style="14" customWidth="1"/>
    <col min="7" max="7" width="10" style="14" customWidth="1"/>
    <col min="8" max="8" width="10.42578125" style="14" customWidth="1"/>
    <col min="9" max="9" width="9.140625" style="14" customWidth="1"/>
    <col min="10" max="10" width="8.42578125" style="14" customWidth="1"/>
    <col min="11" max="11" width="9.5703125" style="14" customWidth="1"/>
    <col min="12" max="12" width="11.7109375" style="14" customWidth="1"/>
    <col min="13" max="13" width="10.42578125" style="14" customWidth="1"/>
    <col min="14" max="14" width="10.85546875" style="14" customWidth="1"/>
    <col min="15" max="15" width="12.85546875" style="14" customWidth="1"/>
    <col min="16" max="16" width="12.140625" style="14" customWidth="1"/>
    <col min="17" max="17" width="8.7109375" style="14" customWidth="1"/>
    <col min="18" max="18" width="11.140625" style="14" customWidth="1"/>
    <col min="19" max="19" width="11.5703125" style="14" customWidth="1"/>
    <col min="20" max="20" width="12.42578125" style="14" customWidth="1"/>
    <col min="21" max="21" width="8.42578125" style="14" hidden="1" customWidth="1"/>
    <col min="22" max="22" width="8.140625" style="14" hidden="1" customWidth="1"/>
    <col min="23" max="23" width="0" style="14" hidden="1" customWidth="1"/>
    <col min="24" max="16384" width="11.42578125" style="14"/>
  </cols>
  <sheetData>
    <row r="1" spans="1:23" x14ac:dyDescent="0.25">
      <c r="A1" s="33" t="s">
        <v>0</v>
      </c>
      <c r="B1" s="33" t="s">
        <v>1</v>
      </c>
      <c r="C1" s="33" t="s">
        <v>2</v>
      </c>
      <c r="D1" s="33" t="s">
        <v>62</v>
      </c>
      <c r="E1" s="31" t="s">
        <v>4</v>
      </c>
      <c r="F1" s="48" t="s">
        <v>3</v>
      </c>
      <c r="G1" s="49"/>
      <c r="H1" s="49"/>
      <c r="I1" s="49"/>
      <c r="J1" s="49"/>
      <c r="K1" s="49"/>
      <c r="L1" s="50"/>
      <c r="M1" s="31" t="s">
        <v>8</v>
      </c>
      <c r="N1" s="31" t="s">
        <v>9</v>
      </c>
      <c r="O1" s="31" t="s">
        <v>10</v>
      </c>
      <c r="P1" s="31" t="s">
        <v>11</v>
      </c>
      <c r="Q1" s="31" t="s">
        <v>12</v>
      </c>
      <c r="R1" s="31" t="s">
        <v>13</v>
      </c>
      <c r="S1" s="31" t="s">
        <v>14</v>
      </c>
      <c r="T1" s="31" t="s">
        <v>60</v>
      </c>
      <c r="U1" s="35"/>
      <c r="V1" s="35"/>
    </row>
    <row r="2" spans="1:23" ht="74.25" x14ac:dyDescent="0.25">
      <c r="A2" s="33"/>
      <c r="B2" s="33"/>
      <c r="C2" s="33"/>
      <c r="D2" s="33"/>
      <c r="E2" s="32"/>
      <c r="F2" s="34" t="s">
        <v>3</v>
      </c>
      <c r="G2" s="34" t="s">
        <v>5</v>
      </c>
      <c r="H2" s="34" t="s">
        <v>6</v>
      </c>
      <c r="I2" s="34" t="s">
        <v>61</v>
      </c>
      <c r="J2" s="34" t="s">
        <v>59</v>
      </c>
      <c r="K2" s="34" t="s">
        <v>7</v>
      </c>
      <c r="L2" s="34" t="s">
        <v>58</v>
      </c>
      <c r="M2" s="32"/>
      <c r="N2" s="32"/>
      <c r="O2" s="32"/>
      <c r="P2" s="32"/>
      <c r="Q2" s="32"/>
      <c r="R2" s="32"/>
      <c r="S2" s="32"/>
      <c r="T2" s="32"/>
      <c r="U2" s="36" t="s">
        <v>117</v>
      </c>
      <c r="V2" s="37" t="s">
        <v>118</v>
      </c>
    </row>
    <row r="3" spans="1:23" ht="57.75" x14ac:dyDescent="0.25">
      <c r="A3" s="27" t="s">
        <v>15</v>
      </c>
      <c r="B3" s="27" t="s">
        <v>16</v>
      </c>
      <c r="C3" s="10" t="s">
        <v>17</v>
      </c>
      <c r="D3" s="10" t="s">
        <v>73</v>
      </c>
      <c r="E3" s="1">
        <f>216439634.514+821790.061</f>
        <v>217261424.57499999</v>
      </c>
      <c r="F3" s="1">
        <f>1000000+75000</f>
        <v>1075000</v>
      </c>
      <c r="G3" s="1"/>
      <c r="H3" s="1"/>
      <c r="I3" s="1">
        <f>40000+150000</f>
        <v>190000</v>
      </c>
      <c r="J3" s="1"/>
      <c r="K3" s="1"/>
      <c r="L3" s="1"/>
      <c r="M3" s="1"/>
      <c r="N3" s="1"/>
      <c r="O3" s="1">
        <v>10300000</v>
      </c>
      <c r="P3" s="1"/>
      <c r="Q3" s="1"/>
      <c r="R3" s="1"/>
      <c r="S3" s="1">
        <f>1009654.865+24824403.752+1427920.594+40000</f>
        <v>27301979.210999999</v>
      </c>
      <c r="T3" s="1">
        <f>+E3+F3+G3+H3+I3+J3+K3+L3+M3+N3+O3+P3+Q3+R3+S3</f>
        <v>256128403.78599998</v>
      </c>
      <c r="U3" s="38" t="e">
        <f>#REF!+#REF!+#REF!+#REF!+#REF!+#REF!+#REF!</f>
        <v>#REF!</v>
      </c>
      <c r="V3" s="38" t="e">
        <f>#REF!+#REF!+#REF!+#REF!+#REF!+#REF!+#REF!+#REF!+#REF!+#REF!+#REF!+#REF!+#REF!+#REF!</f>
        <v>#REF!</v>
      </c>
    </row>
    <row r="4" spans="1:23" x14ac:dyDescent="0.25">
      <c r="A4" s="27"/>
      <c r="B4" s="27"/>
      <c r="C4" s="41" t="s">
        <v>18</v>
      </c>
      <c r="D4" s="41"/>
      <c r="E4" s="39">
        <f t="shared" ref="E4:S4" si="0">E3</f>
        <v>217261424.57499999</v>
      </c>
      <c r="F4" s="39">
        <f t="shared" si="0"/>
        <v>1075000</v>
      </c>
      <c r="G4" s="39">
        <f t="shared" si="0"/>
        <v>0</v>
      </c>
      <c r="H4" s="39">
        <f t="shared" si="0"/>
        <v>0</v>
      </c>
      <c r="I4" s="39">
        <f t="shared" si="0"/>
        <v>190000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39">
        <f t="shared" si="0"/>
        <v>10300000</v>
      </c>
      <c r="P4" s="39">
        <f t="shared" si="0"/>
        <v>0</v>
      </c>
      <c r="Q4" s="39">
        <f t="shared" si="0"/>
        <v>0</v>
      </c>
      <c r="R4" s="39">
        <f t="shared" si="0"/>
        <v>0</v>
      </c>
      <c r="S4" s="39">
        <f t="shared" si="0"/>
        <v>27301979.210999999</v>
      </c>
      <c r="T4" s="39">
        <f>T3</f>
        <v>256128403.78599998</v>
      </c>
      <c r="U4" s="39" t="e">
        <f>U3</f>
        <v>#REF!</v>
      </c>
      <c r="V4" s="39" t="e">
        <f>V3</f>
        <v>#REF!</v>
      </c>
    </row>
    <row r="5" spans="1:23" ht="16.5" x14ac:dyDescent="0.25">
      <c r="A5" s="27"/>
      <c r="B5" s="25" t="s">
        <v>19</v>
      </c>
      <c r="C5" s="13" t="s">
        <v>20</v>
      </c>
      <c r="D5" s="13" t="s">
        <v>74</v>
      </c>
      <c r="E5" s="1">
        <f>73046482.211+700000</f>
        <v>73746482.210999995</v>
      </c>
      <c r="F5" s="1">
        <f>1000000+300000</f>
        <v>1300000</v>
      </c>
      <c r="G5" s="1"/>
      <c r="H5" s="35"/>
      <c r="I5" s="1">
        <v>40000</v>
      </c>
      <c r="J5" s="1"/>
      <c r="K5" s="1"/>
      <c r="L5" s="1"/>
      <c r="M5" s="1"/>
      <c r="N5" s="1"/>
      <c r="O5" s="1">
        <v>128181819.23199999</v>
      </c>
      <c r="P5" s="1"/>
      <c r="Q5" s="1"/>
      <c r="R5" s="1">
        <v>500000</v>
      </c>
      <c r="S5" s="1">
        <f>3498961.603+4800000+1700000</f>
        <v>9998961.6030000001</v>
      </c>
      <c r="T5" s="1">
        <f>+E5+F5+G5+H5+I5+J5+K5+L5+M5+N5+O5+P5+Q5+R5+S5</f>
        <v>213767263.046</v>
      </c>
      <c r="U5" s="38" t="e">
        <f>#REF!+#REF!+#REF!+#REF!+#REF!+#REF!+#REF!</f>
        <v>#REF!</v>
      </c>
      <c r="V5" s="38" t="e">
        <f>#REF!+#REF!+#REF!+#REF!+#REF!+#REF!+#REF!+#REF!+#REF!+#REF!+#REF!+#REF!+#REF!+#REF!</f>
        <v>#REF!</v>
      </c>
      <c r="W5" s="14">
        <f>3500/12</f>
        <v>291.66666666666669</v>
      </c>
    </row>
    <row r="6" spans="1:23" x14ac:dyDescent="0.25">
      <c r="A6" s="27"/>
      <c r="B6" s="25"/>
      <c r="C6" s="41" t="s">
        <v>18</v>
      </c>
      <c r="D6" s="41"/>
      <c r="E6" s="39">
        <f t="shared" ref="E6:S6" si="1">E5</f>
        <v>73746482.210999995</v>
      </c>
      <c r="F6" s="39">
        <f t="shared" si="1"/>
        <v>1300000</v>
      </c>
      <c r="G6" s="39">
        <f t="shared" si="1"/>
        <v>0</v>
      </c>
      <c r="H6" s="39">
        <f>H5</f>
        <v>0</v>
      </c>
      <c r="I6" s="39">
        <f t="shared" si="1"/>
        <v>40000</v>
      </c>
      <c r="J6" s="39">
        <f t="shared" si="1"/>
        <v>0</v>
      </c>
      <c r="K6" s="39">
        <f t="shared" si="1"/>
        <v>0</v>
      </c>
      <c r="L6" s="39">
        <f t="shared" si="1"/>
        <v>0</v>
      </c>
      <c r="M6" s="39">
        <f t="shared" si="1"/>
        <v>0</v>
      </c>
      <c r="N6" s="39">
        <f t="shared" si="1"/>
        <v>0</v>
      </c>
      <c r="O6" s="39">
        <f t="shared" si="1"/>
        <v>128181819.23199999</v>
      </c>
      <c r="P6" s="39">
        <f t="shared" si="1"/>
        <v>0</v>
      </c>
      <c r="Q6" s="39">
        <f t="shared" si="1"/>
        <v>0</v>
      </c>
      <c r="R6" s="39">
        <f t="shared" si="1"/>
        <v>500000</v>
      </c>
      <c r="S6" s="39">
        <f t="shared" si="1"/>
        <v>9998961.6030000001</v>
      </c>
      <c r="T6" s="39">
        <f>T5</f>
        <v>213767263.046</v>
      </c>
      <c r="U6" s="39" t="e">
        <f>U5</f>
        <v>#REF!</v>
      </c>
      <c r="V6" s="39" t="e">
        <f>V5</f>
        <v>#REF!</v>
      </c>
      <c r="W6" s="14">
        <f>W5*6</f>
        <v>1750</v>
      </c>
    </row>
    <row r="7" spans="1:23" ht="16.5" x14ac:dyDescent="0.25">
      <c r="A7" s="27"/>
      <c r="B7" s="27" t="s">
        <v>21</v>
      </c>
      <c r="C7" s="54" t="s">
        <v>22</v>
      </c>
      <c r="D7" s="10" t="s">
        <v>76</v>
      </c>
      <c r="E7" s="40">
        <v>500000</v>
      </c>
      <c r="F7" s="1">
        <v>450000</v>
      </c>
      <c r="G7" s="1">
        <v>400000</v>
      </c>
      <c r="H7" s="35"/>
      <c r="I7" s="35"/>
      <c r="J7" s="1">
        <v>2302158.2080000001</v>
      </c>
      <c r="K7" s="1"/>
      <c r="L7" s="1"/>
      <c r="M7" s="1"/>
      <c r="N7" s="1"/>
      <c r="O7" s="1">
        <v>46968.514999999999</v>
      </c>
      <c r="P7" s="1"/>
      <c r="Q7" s="1"/>
      <c r="R7" s="1"/>
      <c r="S7" s="1">
        <f>2858320+56000</f>
        <v>2914320</v>
      </c>
      <c r="T7" s="1">
        <f>+E7+F7+G7+H7+I7+J7+K7+L7+M7+N7+O7+P7+Q7+R7+S7</f>
        <v>6613446.7230000002</v>
      </c>
      <c r="U7" s="38" t="e">
        <f>#REF!+#REF!+#REF!+#REF!+#REF!+#REF!+#REF!</f>
        <v>#REF!</v>
      </c>
      <c r="V7" s="38" t="e">
        <f>#REF!+#REF!+#REF!+#REF!+#REF!+#REF!+#REF!+#REF!+#REF!+#REF!+#REF!+#REF!+#REF!+#REF!</f>
        <v>#REF!</v>
      </c>
    </row>
    <row r="8" spans="1:23" ht="16.5" x14ac:dyDescent="0.25">
      <c r="A8" s="27"/>
      <c r="B8" s="27"/>
      <c r="C8" s="54"/>
      <c r="D8" s="10" t="s">
        <v>75</v>
      </c>
      <c r="E8" s="40">
        <v>824388.26599999995</v>
      </c>
      <c r="F8" s="35"/>
      <c r="G8" s="1"/>
      <c r="H8" s="35"/>
      <c r="I8" s="1">
        <v>8500</v>
      </c>
      <c r="J8" s="1"/>
      <c r="K8" s="1"/>
      <c r="L8" s="1"/>
      <c r="M8" s="1"/>
      <c r="N8" s="1"/>
      <c r="O8" s="1"/>
      <c r="P8" s="1"/>
      <c r="Q8" s="1"/>
      <c r="R8" s="1"/>
      <c r="S8" s="1">
        <v>15000</v>
      </c>
      <c r="T8" s="1">
        <f>+E8+F8+G8+H8+I8+J8+K8+L8+M8+N8+O8+P8+Q8+R8+S8</f>
        <v>847888.26599999995</v>
      </c>
      <c r="U8" s="38" t="e">
        <f>#REF!+#REF!+#REF!+#REF!+#REF!+#REF!+#REF!</f>
        <v>#REF!</v>
      </c>
      <c r="V8" s="38" t="e">
        <f>#REF!+#REF!+#REF!+#REF!+#REF!+#REF!+#REF!+#REF!+#REF!+#REF!+#REF!+#REF!+#REF!+#REF!</f>
        <v>#REF!</v>
      </c>
    </row>
    <row r="9" spans="1:23" ht="24.75" x14ac:dyDescent="0.25">
      <c r="A9" s="27"/>
      <c r="B9" s="27"/>
      <c r="C9" s="10" t="s">
        <v>23</v>
      </c>
      <c r="D9" s="10" t="s">
        <v>77</v>
      </c>
      <c r="E9" s="1">
        <v>600000</v>
      </c>
      <c r="F9" s="1">
        <v>97500</v>
      </c>
      <c r="G9" s="1">
        <v>750000</v>
      </c>
      <c r="H9" s="1"/>
      <c r="I9" s="1"/>
      <c r="J9" s="1">
        <v>1200000</v>
      </c>
      <c r="K9" s="1"/>
      <c r="L9" s="1"/>
      <c r="M9" s="1"/>
      <c r="N9" s="1"/>
      <c r="O9" s="1"/>
      <c r="P9" s="1"/>
      <c r="Q9" s="1"/>
      <c r="R9" s="1"/>
      <c r="S9" s="1"/>
      <c r="T9" s="1">
        <f>+E9+F9+G9+H9+I9+J9+K9+L9+M9+N9+O9+P9+Q9+R9+S9</f>
        <v>2647500</v>
      </c>
      <c r="U9" s="38" t="e">
        <f>#REF!+#REF!+#REF!+#REF!+#REF!+#REF!+#REF!</f>
        <v>#REF!</v>
      </c>
      <c r="V9" s="38" t="e">
        <f>#REF!+#REF!+#REF!+#REF!+#REF!+#REF!+#REF!+#REF!+#REF!+#REF!+#REF!+#REF!+#REF!+#REF!</f>
        <v>#REF!</v>
      </c>
    </row>
    <row r="10" spans="1:23" x14ac:dyDescent="0.25">
      <c r="A10" s="27"/>
      <c r="B10" s="27"/>
      <c r="C10" s="41" t="s">
        <v>18</v>
      </c>
      <c r="D10" s="41"/>
      <c r="E10" s="39">
        <f>SUM(E7:E9)</f>
        <v>1924388.2659999998</v>
      </c>
      <c r="F10" s="39">
        <f t="shared" ref="F10:G10" si="2">SUM(F7:F9)</f>
        <v>547500</v>
      </c>
      <c r="G10" s="39">
        <f t="shared" si="2"/>
        <v>1150000</v>
      </c>
      <c r="H10" s="9">
        <f>SUM(H7:H9)</f>
        <v>0</v>
      </c>
      <c r="I10" s="9">
        <f>SUM(I8:I9)</f>
        <v>8500</v>
      </c>
      <c r="J10" s="9">
        <f t="shared" ref="J10" si="3">SUM(J7:J9)</f>
        <v>3502158.2080000001</v>
      </c>
      <c r="K10" s="9">
        <f t="shared" ref="K10" si="4">SUM(K7:K9)</f>
        <v>0</v>
      </c>
      <c r="L10" s="9">
        <f t="shared" ref="L10" si="5">SUM(L7:L9)</f>
        <v>0</v>
      </c>
      <c r="M10" s="9">
        <f t="shared" ref="M10" si="6">SUM(M7:M9)</f>
        <v>0</v>
      </c>
      <c r="N10" s="9">
        <f t="shared" ref="N10" si="7">SUM(N7:N9)</f>
        <v>0</v>
      </c>
      <c r="O10" s="9">
        <f t="shared" ref="O10" si="8">SUM(O7:O9)</f>
        <v>46968.514999999999</v>
      </c>
      <c r="P10" s="9">
        <f t="shared" ref="P10" si="9">SUM(P7:P9)</f>
        <v>0</v>
      </c>
      <c r="Q10" s="9">
        <f t="shared" ref="Q10" si="10">SUM(Q7:Q9)</f>
        <v>0</v>
      </c>
      <c r="R10" s="9">
        <f t="shared" ref="R10" si="11">SUM(R7:R9)</f>
        <v>0</v>
      </c>
      <c r="S10" s="9">
        <f t="shared" ref="S10" si="12">SUM(S7:S9)</f>
        <v>2929320</v>
      </c>
      <c r="T10" s="39">
        <f t="shared" ref="T10:V10" si="13">SUM(T7:T9)</f>
        <v>10108834.989</v>
      </c>
      <c r="U10" s="39" t="e">
        <f t="shared" si="13"/>
        <v>#REF!</v>
      </c>
      <c r="V10" s="39" t="e">
        <f t="shared" si="13"/>
        <v>#REF!</v>
      </c>
    </row>
    <row r="11" spans="1:23" x14ac:dyDescent="0.25">
      <c r="A11" s="27"/>
      <c r="B11" s="27" t="s">
        <v>24</v>
      </c>
      <c r="C11" s="54" t="s">
        <v>25</v>
      </c>
      <c r="D11" s="10" t="s">
        <v>78</v>
      </c>
      <c r="E11" s="1">
        <v>500000</v>
      </c>
      <c r="F11" s="1">
        <v>550000</v>
      </c>
      <c r="G11" s="1">
        <v>400000</v>
      </c>
      <c r="H11" s="1"/>
      <c r="I11" s="1">
        <v>450000</v>
      </c>
      <c r="J11" s="1"/>
      <c r="K11" s="1"/>
      <c r="L11" s="1"/>
      <c r="M11" s="1"/>
      <c r="N11" s="1"/>
      <c r="O11" s="1"/>
      <c r="P11" s="1"/>
      <c r="Q11" s="1"/>
      <c r="R11" s="1"/>
      <c r="S11" s="35"/>
      <c r="T11" s="1">
        <f>+E11+F11+G11+H11+I11+J11+K11+L11+M11+N11+O11+P11+Q11+R11+S11</f>
        <v>1900000</v>
      </c>
      <c r="U11" s="38" t="e">
        <f>#REF!+#REF!+#REF!+#REF!+#REF!+#REF!+#REF!</f>
        <v>#REF!</v>
      </c>
      <c r="V11" s="38" t="e">
        <f>#REF!+#REF!+#REF!+#REF!+#REF!+#REF!+#REF!+#REF!+#REF!+#REF!+#REF!+#REF!+#REF!+#REF!</f>
        <v>#REF!</v>
      </c>
    </row>
    <row r="12" spans="1:23" ht="16.5" x14ac:dyDescent="0.25">
      <c r="A12" s="27"/>
      <c r="B12" s="27"/>
      <c r="C12" s="54"/>
      <c r="D12" s="10" t="s">
        <v>75</v>
      </c>
      <c r="E12" s="1">
        <v>1099184.3540000001</v>
      </c>
      <c r="F12" s="1"/>
      <c r="G12" s="1"/>
      <c r="H12" s="1"/>
      <c r="I12" s="1">
        <v>6500</v>
      </c>
      <c r="J12" s="1"/>
      <c r="K12" s="1"/>
      <c r="L12" s="1"/>
      <c r="M12" s="1"/>
      <c r="N12" s="1"/>
      <c r="O12" s="1"/>
      <c r="P12" s="1"/>
      <c r="Q12" s="1"/>
      <c r="R12" s="1"/>
      <c r="S12" s="1">
        <v>30000</v>
      </c>
      <c r="T12" s="1">
        <f>+E12+F12+G12+H12+I12+J12+K12+L12+M12+N12+O12+P12+Q12+R12+S12</f>
        <v>1135684.3540000001</v>
      </c>
      <c r="U12" s="38" t="e">
        <f>#REF!+#REF!+#REF!+#REF!+#REF!+#REF!+#REF!</f>
        <v>#REF!</v>
      </c>
      <c r="V12" s="38" t="e">
        <f>#REF!+#REF!+#REF!+#REF!+#REF!+#REF!+#REF!+#REF!+#REF!+#REF!+#REF!+#REF!+#REF!+#REF!</f>
        <v>#REF!</v>
      </c>
    </row>
    <row r="13" spans="1:23" x14ac:dyDescent="0.25">
      <c r="A13" s="27"/>
      <c r="B13" s="27"/>
      <c r="C13" s="33" t="s">
        <v>18</v>
      </c>
      <c r="D13" s="33"/>
      <c r="E13" s="42">
        <f>SUM(E11:E12)</f>
        <v>1599184.3540000001</v>
      </c>
      <c r="F13" s="42">
        <f t="shared" ref="F13:V13" si="14">SUM(F11:F12)</f>
        <v>550000</v>
      </c>
      <c r="G13" s="42">
        <f t="shared" si="14"/>
        <v>400000</v>
      </c>
      <c r="H13" s="42">
        <f t="shared" si="14"/>
        <v>0</v>
      </c>
      <c r="I13" s="42">
        <f t="shared" si="14"/>
        <v>456500</v>
      </c>
      <c r="J13" s="42">
        <f t="shared" si="14"/>
        <v>0</v>
      </c>
      <c r="K13" s="42">
        <f t="shared" si="14"/>
        <v>0</v>
      </c>
      <c r="L13" s="42">
        <f t="shared" si="14"/>
        <v>0</v>
      </c>
      <c r="M13" s="42">
        <f t="shared" si="14"/>
        <v>0</v>
      </c>
      <c r="N13" s="42">
        <f t="shared" si="14"/>
        <v>0</v>
      </c>
      <c r="O13" s="42">
        <f t="shared" si="14"/>
        <v>0</v>
      </c>
      <c r="P13" s="42">
        <f t="shared" si="14"/>
        <v>0</v>
      </c>
      <c r="Q13" s="42">
        <f t="shared" si="14"/>
        <v>0</v>
      </c>
      <c r="R13" s="42">
        <f t="shared" si="14"/>
        <v>0</v>
      </c>
      <c r="S13" s="42">
        <f>SUM(S12:S12)</f>
        <v>30000</v>
      </c>
      <c r="T13" s="42">
        <f t="shared" si="14"/>
        <v>3035684.3540000003</v>
      </c>
      <c r="U13" s="42" t="e">
        <f t="shared" si="14"/>
        <v>#REF!</v>
      </c>
      <c r="V13" s="42" t="e">
        <f t="shared" si="14"/>
        <v>#REF!</v>
      </c>
    </row>
    <row r="14" spans="1:23" ht="24.75" x14ac:dyDescent="0.25">
      <c r="A14" s="27"/>
      <c r="B14" s="27" t="s">
        <v>26</v>
      </c>
      <c r="C14" s="10" t="s">
        <v>100</v>
      </c>
      <c r="D14" s="10" t="s">
        <v>79</v>
      </c>
      <c r="E14" s="1"/>
      <c r="F14" s="1"/>
      <c r="G14" s="1">
        <v>350000</v>
      </c>
      <c r="H14" s="1"/>
      <c r="I14" s="1">
        <v>150000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f>+E14+F14+G14+H14+I14+J14+K14+L14+M14+N14+O14+P14+Q14+R14+S14</f>
        <v>500000</v>
      </c>
      <c r="U14" s="38" t="e">
        <f>#REF!+#REF!+#REF!+#REF!+#REF!+#REF!+#REF!</f>
        <v>#REF!</v>
      </c>
      <c r="V14" s="38" t="e">
        <f>#REF!+#REF!+#REF!+#REF!+#REF!+#REF!+#REF!+#REF!+#REF!+#REF!+#REF!+#REF!+#REF!+#REF!</f>
        <v>#REF!</v>
      </c>
    </row>
    <row r="15" spans="1:23" ht="49.5" x14ac:dyDescent="0.25">
      <c r="A15" s="27"/>
      <c r="B15" s="27"/>
      <c r="C15" s="10" t="s">
        <v>98</v>
      </c>
      <c r="D15" s="10" t="s">
        <v>80</v>
      </c>
      <c r="E15" s="1"/>
      <c r="F15" s="1"/>
      <c r="G15" s="1">
        <v>250000</v>
      </c>
      <c r="H15" s="1"/>
      <c r="I15" s="1">
        <v>150000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f>+E15+F15+G15+H15+I15+J15+K15+L15+M15+N15+O15+P15+Q15+R15+S15</f>
        <v>400000</v>
      </c>
      <c r="U15" s="38" t="e">
        <f>#REF!+#REF!+#REF!+#REF!+#REF!+#REF!+#REF!</f>
        <v>#REF!</v>
      </c>
      <c r="V15" s="38" t="e">
        <f>#REF!+#REF!+#REF!+#REF!+#REF!+#REF!+#REF!+#REF!+#REF!+#REF!+#REF!+#REF!+#REF!+#REF!</f>
        <v>#REF!</v>
      </c>
    </row>
    <row r="16" spans="1:23" ht="57.75" x14ac:dyDescent="0.25">
      <c r="A16" s="27"/>
      <c r="B16" s="27"/>
      <c r="C16" s="10" t="s">
        <v>99</v>
      </c>
      <c r="D16" s="10" t="s">
        <v>80</v>
      </c>
      <c r="E16" s="1"/>
      <c r="F16" s="1"/>
      <c r="G16" s="1">
        <v>150000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f>+E16+F16+G16+H16+I16+J16+K16+L16+M16+N16+O16+P16+Q16+R16+S16</f>
        <v>150000</v>
      </c>
      <c r="U16" s="38" t="e">
        <f>#REF!+#REF!+#REF!+#REF!+#REF!+#REF!+#REF!</f>
        <v>#REF!</v>
      </c>
      <c r="V16" s="38" t="e">
        <f>#REF!+#REF!+#REF!+#REF!+#REF!+#REF!+#REF!+#REF!+#REF!+#REF!+#REF!+#REF!+#REF!+#REF!</f>
        <v>#REF!</v>
      </c>
    </row>
    <row r="17" spans="1:22" ht="33" x14ac:dyDescent="0.25">
      <c r="A17" s="27"/>
      <c r="B17" s="27"/>
      <c r="C17" s="10" t="s">
        <v>101</v>
      </c>
      <c r="D17" s="10" t="s">
        <v>81</v>
      </c>
      <c r="E17" s="1">
        <v>500000</v>
      </c>
      <c r="F17" s="1">
        <v>100000</v>
      </c>
      <c r="G17" s="1"/>
      <c r="H17" s="1"/>
      <c r="I17" s="1">
        <f>40000+1000000</f>
        <v>1040000</v>
      </c>
      <c r="J17" s="1"/>
      <c r="K17" s="1"/>
      <c r="L17" s="1"/>
      <c r="M17" s="1"/>
      <c r="N17" s="1"/>
      <c r="O17" s="1"/>
      <c r="P17" s="1"/>
      <c r="Q17" s="1"/>
      <c r="R17" s="1"/>
      <c r="S17" s="1">
        <f>1300000</f>
        <v>1300000</v>
      </c>
      <c r="T17" s="1">
        <f>+E17+F17+G17+H17+I17+J17+K17+L17+M17+N17+O17+P17+Q17+R17+S17</f>
        <v>2940000</v>
      </c>
      <c r="U17" s="38" t="e">
        <f>#REF!+#REF!+#REF!+#REF!+#REF!+#REF!+#REF!</f>
        <v>#REF!</v>
      </c>
      <c r="V17" s="38" t="e">
        <f>#REF!+#REF!+#REF!+#REF!+#REF!+#REF!+#REF!+#REF!+#REF!+#REF!+#REF!+#REF!+#REF!+#REF!</f>
        <v>#REF!</v>
      </c>
    </row>
    <row r="18" spans="1:22" ht="74.25" x14ac:dyDescent="0.25">
      <c r="A18" s="27"/>
      <c r="B18" s="27"/>
      <c r="C18" s="10" t="s">
        <v>103</v>
      </c>
      <c r="D18" s="10" t="s">
        <v>81</v>
      </c>
      <c r="E18" s="1">
        <v>100000</v>
      </c>
      <c r="F18" s="1"/>
      <c r="G18" s="1">
        <v>200000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f>+E18+F18+G18+H18+I18+J18+K18+L18+M18+N18+O18+P18+Q18+R18+S18</f>
        <v>300000</v>
      </c>
      <c r="U18" s="38" t="e">
        <f>#REF!+#REF!+#REF!+#REF!+#REF!+#REF!+#REF!</f>
        <v>#REF!</v>
      </c>
      <c r="V18" s="38" t="e">
        <f>#REF!+#REF!+#REF!+#REF!+#REF!+#REF!+#REF!+#REF!+#REF!+#REF!+#REF!+#REF!+#REF!+#REF!</f>
        <v>#REF!</v>
      </c>
    </row>
    <row r="19" spans="1:22" ht="41.25" x14ac:dyDescent="0.25">
      <c r="A19" s="27"/>
      <c r="B19" s="27"/>
      <c r="C19" s="10" t="s">
        <v>102</v>
      </c>
      <c r="D19" s="10" t="s">
        <v>81</v>
      </c>
      <c r="E19" s="1"/>
      <c r="F19" s="1"/>
      <c r="G19" s="1">
        <v>100000</v>
      </c>
      <c r="H19" s="1"/>
      <c r="I19" s="1">
        <v>100000</v>
      </c>
      <c r="J19" s="1"/>
      <c r="K19" s="1">
        <v>4377697.76</v>
      </c>
      <c r="L19" s="1"/>
      <c r="M19" s="1"/>
      <c r="N19" s="1"/>
      <c r="O19" s="1"/>
      <c r="P19" s="1"/>
      <c r="Q19" s="1"/>
      <c r="R19" s="1"/>
      <c r="S19" s="1">
        <v>6000000</v>
      </c>
      <c r="T19" s="1">
        <f>+E19+F19+G19+H19+I19+J19+K19+L19+M19+N19+O19+P19+Q19+R19+S19</f>
        <v>10577697.76</v>
      </c>
      <c r="U19" s="38" t="e">
        <f>#REF!+#REF!+#REF!+#REF!+#REF!+#REF!+#REF!</f>
        <v>#REF!</v>
      </c>
      <c r="V19" s="38" t="e">
        <f>#REF!+#REF!+#REF!+#REF!+#REF!+#REF!+#REF!+#REF!+#REF!+#REF!+#REF!+#REF!+#REF!+#REF!</f>
        <v>#REF!</v>
      </c>
    </row>
    <row r="20" spans="1:22" ht="66" x14ac:dyDescent="0.25">
      <c r="A20" s="27"/>
      <c r="B20" s="27"/>
      <c r="C20" s="10" t="s">
        <v>104</v>
      </c>
      <c r="D20" s="10" t="s">
        <v>81</v>
      </c>
      <c r="E20" s="1">
        <v>200000</v>
      </c>
      <c r="F20" s="1"/>
      <c r="G20" s="1">
        <v>150000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f>+E20+F20+G20+H20+I20+J20+K20+L20+M20+N20+O20+P20+Q20+R20+S20</f>
        <v>350000</v>
      </c>
      <c r="U20" s="38" t="e">
        <f>#REF!+#REF!+#REF!+#REF!+#REF!+#REF!+#REF!</f>
        <v>#REF!</v>
      </c>
      <c r="V20" s="38" t="e">
        <f>#REF!+#REF!+#REF!+#REF!+#REF!+#REF!+#REF!+#REF!+#REF!+#REF!+#REF!+#REF!+#REF!+#REF!</f>
        <v>#REF!</v>
      </c>
    </row>
    <row r="21" spans="1:22" x14ac:dyDescent="0.25">
      <c r="A21" s="27"/>
      <c r="B21" s="27"/>
      <c r="C21" s="33" t="s">
        <v>18</v>
      </c>
      <c r="D21" s="33"/>
      <c r="E21" s="42">
        <f t="shared" ref="E21:S21" si="15">SUM(E14:E20)</f>
        <v>800000</v>
      </c>
      <c r="F21" s="42">
        <f>SUM(F14:F20)</f>
        <v>100000</v>
      </c>
      <c r="G21" s="42">
        <f t="shared" si="15"/>
        <v>1200000</v>
      </c>
      <c r="H21" s="42">
        <f t="shared" si="15"/>
        <v>0</v>
      </c>
      <c r="I21" s="42">
        <f t="shared" si="15"/>
        <v>1440000</v>
      </c>
      <c r="J21" s="42">
        <f t="shared" si="15"/>
        <v>0</v>
      </c>
      <c r="K21" s="42">
        <f t="shared" si="15"/>
        <v>4377697.76</v>
      </c>
      <c r="L21" s="42">
        <f t="shared" si="15"/>
        <v>0</v>
      </c>
      <c r="M21" s="42">
        <f t="shared" si="15"/>
        <v>0</v>
      </c>
      <c r="N21" s="42">
        <f t="shared" si="15"/>
        <v>0</v>
      </c>
      <c r="O21" s="42">
        <f t="shared" si="15"/>
        <v>0</v>
      </c>
      <c r="P21" s="42">
        <f t="shared" si="15"/>
        <v>0</v>
      </c>
      <c r="Q21" s="42">
        <f t="shared" si="15"/>
        <v>0</v>
      </c>
      <c r="R21" s="42">
        <f t="shared" si="15"/>
        <v>0</v>
      </c>
      <c r="S21" s="42">
        <f t="shared" si="15"/>
        <v>7300000</v>
      </c>
      <c r="T21" s="42">
        <f>SUM(T14:T20)</f>
        <v>15217697.76</v>
      </c>
      <c r="U21" s="42" t="e">
        <f>SUM(U14:U20)</f>
        <v>#REF!</v>
      </c>
      <c r="V21" s="42" t="e">
        <f>SUM(V14:V20)</f>
        <v>#REF!</v>
      </c>
    </row>
    <row r="22" spans="1:22" x14ac:dyDescent="0.25">
      <c r="A22" s="27"/>
      <c r="B22" s="43" t="s">
        <v>27</v>
      </c>
      <c r="C22" s="51" t="s">
        <v>27</v>
      </c>
      <c r="D22" s="53"/>
      <c r="E22" s="44">
        <f t="shared" ref="E22:S22" si="16">E21+E13+E10+E6+E4</f>
        <v>295331479.40600002</v>
      </c>
      <c r="F22" s="44">
        <f t="shared" si="16"/>
        <v>3572500</v>
      </c>
      <c r="G22" s="44">
        <f t="shared" si="16"/>
        <v>2750000</v>
      </c>
      <c r="H22" s="44">
        <f t="shared" si="16"/>
        <v>0</v>
      </c>
      <c r="I22" s="44">
        <f t="shared" si="16"/>
        <v>2135000</v>
      </c>
      <c r="J22" s="44">
        <f t="shared" si="16"/>
        <v>3502158.2080000001</v>
      </c>
      <c r="K22" s="44">
        <f t="shared" si="16"/>
        <v>4377697.76</v>
      </c>
      <c r="L22" s="44">
        <f t="shared" si="16"/>
        <v>0</v>
      </c>
      <c r="M22" s="44">
        <f t="shared" si="16"/>
        <v>0</v>
      </c>
      <c r="N22" s="44">
        <f t="shared" si="16"/>
        <v>0</v>
      </c>
      <c r="O22" s="44">
        <f t="shared" si="16"/>
        <v>138528787.74699998</v>
      </c>
      <c r="P22" s="44">
        <f t="shared" si="16"/>
        <v>0</v>
      </c>
      <c r="Q22" s="44">
        <f t="shared" si="16"/>
        <v>0</v>
      </c>
      <c r="R22" s="44">
        <f t="shared" si="16"/>
        <v>500000</v>
      </c>
      <c r="S22" s="44">
        <f t="shared" si="16"/>
        <v>47560260.813999996</v>
      </c>
      <c r="T22" s="44">
        <f>T21+T13+T10+T6+T4</f>
        <v>498257883.93499994</v>
      </c>
      <c r="U22" s="44" t="e">
        <f>U21+U13+U10+U6+U4</f>
        <v>#REF!</v>
      </c>
      <c r="V22" s="44" t="e">
        <f>V21+V13+V10+V6+V4</f>
        <v>#REF!</v>
      </c>
    </row>
    <row r="23" spans="1:22" ht="49.5" x14ac:dyDescent="0.25">
      <c r="A23" s="27" t="s">
        <v>28</v>
      </c>
      <c r="B23" s="29" t="s">
        <v>29</v>
      </c>
      <c r="C23" s="26" t="s">
        <v>105</v>
      </c>
      <c r="D23" s="26" t="s">
        <v>82</v>
      </c>
      <c r="E23" s="2">
        <v>550000</v>
      </c>
      <c r="F23" s="2">
        <v>500000</v>
      </c>
      <c r="G23" s="2"/>
      <c r="H23" s="2">
        <f>2008500+170000</f>
        <v>2178500</v>
      </c>
      <c r="I23" s="2">
        <v>50000</v>
      </c>
      <c r="J23" s="2"/>
      <c r="K23" s="2"/>
      <c r="L23" s="2"/>
      <c r="M23" s="2"/>
      <c r="N23" s="2"/>
      <c r="O23" s="3"/>
      <c r="P23" s="3"/>
      <c r="Q23" s="3">
        <v>2000000</v>
      </c>
      <c r="R23" s="3"/>
      <c r="S23" s="3">
        <f>700000+59500+500000</f>
        <v>1259500</v>
      </c>
      <c r="T23" s="1">
        <f>+E23+F23+G23+H23+I23+J23+K23+L23+M23+N23+O23+P23+Q23+R23+S23</f>
        <v>6538000</v>
      </c>
      <c r="U23" s="38" t="e">
        <f>#REF!+#REF!+#REF!+#REF!+#REF!+#REF!+#REF!</f>
        <v>#REF!</v>
      </c>
      <c r="V23" s="38" t="e">
        <f>#REF!+#REF!+#REF!+#REF!+#REF!+#REF!+#REF!+#REF!+#REF!+#REF!+#REF!+#REF!+#REF!+#REF!</f>
        <v>#REF!</v>
      </c>
    </row>
    <row r="24" spans="1:22" ht="24.75" x14ac:dyDescent="0.25">
      <c r="A24" s="27"/>
      <c r="B24" s="29"/>
      <c r="C24" s="26" t="s">
        <v>106</v>
      </c>
      <c r="D24" s="26" t="s">
        <v>84</v>
      </c>
      <c r="E24" s="4"/>
      <c r="F24" s="4"/>
      <c r="G24" s="5">
        <v>300000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">
        <f>+E24+F24+G24+H24+I24+J24+K24+L24+M24+N24+O24+P24+Q24+R24+S24</f>
        <v>300000</v>
      </c>
      <c r="U24" s="38" t="e">
        <f>#REF!+#REF!+#REF!+#REF!+#REF!+#REF!+#REF!</f>
        <v>#REF!</v>
      </c>
      <c r="V24" s="38" t="e">
        <f>#REF!+#REF!+#REF!+#REF!+#REF!+#REF!+#REF!+#REF!+#REF!+#REF!+#REF!+#REF!+#REF!+#REF!</f>
        <v>#REF!</v>
      </c>
    </row>
    <row r="25" spans="1:22" ht="16.5" x14ac:dyDescent="0.25">
      <c r="A25" s="27"/>
      <c r="B25" s="29"/>
      <c r="C25" s="30" t="s">
        <v>30</v>
      </c>
      <c r="D25" s="26" t="s">
        <v>75</v>
      </c>
      <c r="E25" s="4"/>
      <c r="F25" s="4"/>
      <c r="G25" s="4"/>
      <c r="H25" s="35"/>
      <c r="I25" s="5"/>
      <c r="J25" s="5"/>
      <c r="K25" s="5"/>
      <c r="L25" s="5">
        <v>500000</v>
      </c>
      <c r="M25" s="5"/>
      <c r="N25" s="5"/>
      <c r="O25" s="4"/>
      <c r="P25" s="4"/>
      <c r="Q25" s="4"/>
      <c r="R25" s="4"/>
      <c r="S25" s="4">
        <f>285000</f>
        <v>285000</v>
      </c>
      <c r="T25" s="1">
        <f>+E25+F25+G25+H25+I25+J25+K25+L25+M25+N25+O25+P25+Q25+R25+S25</f>
        <v>785000</v>
      </c>
      <c r="U25" s="38" t="e">
        <f>#REF!+#REF!+#REF!+#REF!+#REF!+#REF!+#REF!</f>
        <v>#REF!</v>
      </c>
      <c r="V25" s="38" t="e">
        <f>#REF!+#REF!+#REF!+#REF!+#REF!+#REF!+#REF!+#REF!+#REF!+#REF!+#REF!+#REF!+#REF!+#REF!</f>
        <v>#REF!</v>
      </c>
    </row>
    <row r="26" spans="1:22" x14ac:dyDescent="0.25">
      <c r="A26" s="27"/>
      <c r="B26" s="29"/>
      <c r="C26" s="30"/>
      <c r="D26" s="26" t="s">
        <v>110</v>
      </c>
      <c r="E26" s="4"/>
      <c r="F26" s="4"/>
      <c r="G26" s="4"/>
      <c r="H26" s="5">
        <v>17867100</v>
      </c>
      <c r="I26" s="5"/>
      <c r="J26" s="5"/>
      <c r="K26" s="5"/>
      <c r="L26" s="5"/>
      <c r="M26" s="5"/>
      <c r="N26" s="5"/>
      <c r="O26" s="4"/>
      <c r="P26" s="4"/>
      <c r="Q26" s="4"/>
      <c r="R26" s="4"/>
      <c r="S26" s="4">
        <v>200000</v>
      </c>
      <c r="T26" s="1">
        <f>+E26+F26+G26+H26+I26+J26+K26+L26+M26+N26+O26+P26+Q26+R26+S26</f>
        <v>18067100</v>
      </c>
      <c r="U26" s="38" t="e">
        <f>#REF!+#REF!+#REF!+#REF!+#REF!+#REF!+#REF!</f>
        <v>#REF!</v>
      </c>
      <c r="V26" s="38" t="e">
        <f>#REF!+#REF!+#REF!+#REF!+#REF!+#REF!+#REF!+#REF!+#REF!+#REF!+#REF!+#REF!+#REF!+#REF!</f>
        <v>#REF!</v>
      </c>
    </row>
    <row r="27" spans="1:22" x14ac:dyDescent="0.25">
      <c r="A27" s="27"/>
      <c r="B27" s="29"/>
      <c r="C27" s="33" t="s">
        <v>18</v>
      </c>
      <c r="D27" s="33"/>
      <c r="E27" s="42">
        <f t="shared" ref="E27:S27" si="17">SUM(E23:E26)</f>
        <v>550000</v>
      </c>
      <c r="F27" s="42">
        <f t="shared" si="17"/>
        <v>500000</v>
      </c>
      <c r="G27" s="42">
        <f t="shared" si="17"/>
        <v>300000</v>
      </c>
      <c r="H27" s="42">
        <f t="shared" si="17"/>
        <v>20045600</v>
      </c>
      <c r="I27" s="42">
        <f t="shared" si="17"/>
        <v>50000</v>
      </c>
      <c r="J27" s="42">
        <f t="shared" si="17"/>
        <v>0</v>
      </c>
      <c r="K27" s="42">
        <f t="shared" si="17"/>
        <v>0</v>
      </c>
      <c r="L27" s="42">
        <f t="shared" si="17"/>
        <v>500000</v>
      </c>
      <c r="M27" s="42">
        <f t="shared" si="17"/>
        <v>0</v>
      </c>
      <c r="N27" s="42">
        <f t="shared" si="17"/>
        <v>0</v>
      </c>
      <c r="O27" s="42">
        <f t="shared" si="17"/>
        <v>0</v>
      </c>
      <c r="P27" s="42">
        <f t="shared" si="17"/>
        <v>0</v>
      </c>
      <c r="Q27" s="42">
        <f t="shared" si="17"/>
        <v>2000000</v>
      </c>
      <c r="R27" s="42">
        <f t="shared" si="17"/>
        <v>0</v>
      </c>
      <c r="S27" s="42">
        <f t="shared" si="17"/>
        <v>1744500</v>
      </c>
      <c r="T27" s="42">
        <f>SUM(T23:T26)</f>
        <v>25690100</v>
      </c>
      <c r="U27" s="42" t="e">
        <f>SUM(U23:U26)</f>
        <v>#REF!</v>
      </c>
      <c r="V27" s="42" t="e">
        <f>SUM(V23:V26)</f>
        <v>#REF!</v>
      </c>
    </row>
    <row r="28" spans="1:22" ht="41.25" x14ac:dyDescent="0.25">
      <c r="A28" s="27"/>
      <c r="B28" s="27" t="s">
        <v>31</v>
      </c>
      <c r="C28" s="26" t="s">
        <v>107</v>
      </c>
      <c r="D28" s="26" t="s">
        <v>83</v>
      </c>
      <c r="E28" s="6"/>
      <c r="F28" s="7">
        <v>2100000</v>
      </c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"/>
      <c r="T28" s="1">
        <f>+E28+F28+G28+H28+I28+J28+K28+L28+M28+N28+O28+P28+Q28+R28+S28</f>
        <v>2100000</v>
      </c>
      <c r="U28" s="38" t="e">
        <f>#REF!+#REF!+#REF!+#REF!+#REF!+#REF!+#REF!</f>
        <v>#REF!</v>
      </c>
      <c r="V28" s="38" t="e">
        <f>#REF!+#REF!+#REF!+#REF!+#REF!+#REF!+#REF!+#REF!+#REF!+#REF!+#REF!+#REF!+#REF!+#REF!</f>
        <v>#REF!</v>
      </c>
    </row>
    <row r="29" spans="1:22" x14ac:dyDescent="0.25">
      <c r="A29" s="27"/>
      <c r="B29" s="27"/>
      <c r="C29" s="33" t="s">
        <v>18</v>
      </c>
      <c r="D29" s="33"/>
      <c r="E29" s="45">
        <f t="shared" ref="E29:S29" si="18">E28</f>
        <v>0</v>
      </c>
      <c r="F29" s="45">
        <f t="shared" si="18"/>
        <v>2100000</v>
      </c>
      <c r="G29" s="45">
        <f t="shared" si="18"/>
        <v>0</v>
      </c>
      <c r="H29" s="45">
        <f t="shared" si="18"/>
        <v>0</v>
      </c>
      <c r="I29" s="45">
        <f t="shared" si="18"/>
        <v>0</v>
      </c>
      <c r="J29" s="45">
        <f t="shared" si="18"/>
        <v>0</v>
      </c>
      <c r="K29" s="45">
        <f t="shared" si="18"/>
        <v>0</v>
      </c>
      <c r="L29" s="45">
        <f t="shared" si="18"/>
        <v>0</v>
      </c>
      <c r="M29" s="45">
        <f t="shared" si="18"/>
        <v>0</v>
      </c>
      <c r="N29" s="45">
        <f t="shared" si="18"/>
        <v>0</v>
      </c>
      <c r="O29" s="45">
        <f t="shared" si="18"/>
        <v>0</v>
      </c>
      <c r="P29" s="45">
        <f t="shared" si="18"/>
        <v>0</v>
      </c>
      <c r="Q29" s="45">
        <f t="shared" si="18"/>
        <v>0</v>
      </c>
      <c r="R29" s="45">
        <f t="shared" si="18"/>
        <v>0</v>
      </c>
      <c r="S29" s="45">
        <f t="shared" si="18"/>
        <v>0</v>
      </c>
      <c r="T29" s="45">
        <f>T28</f>
        <v>2100000</v>
      </c>
      <c r="U29" s="45" t="e">
        <f>U28</f>
        <v>#REF!</v>
      </c>
      <c r="V29" s="45" t="e">
        <f>V28</f>
        <v>#REF!</v>
      </c>
    </row>
    <row r="30" spans="1:22" x14ac:dyDescent="0.25">
      <c r="A30" s="27"/>
      <c r="B30" s="48" t="s">
        <v>27</v>
      </c>
      <c r="C30" s="49"/>
      <c r="D30" s="50"/>
      <c r="E30" s="22">
        <f t="shared" ref="E30:S30" si="19">E27+E29</f>
        <v>550000</v>
      </c>
      <c r="F30" s="22">
        <f t="shared" si="19"/>
        <v>2600000</v>
      </c>
      <c r="G30" s="22">
        <f t="shared" si="19"/>
        <v>300000</v>
      </c>
      <c r="H30" s="22">
        <f t="shared" si="19"/>
        <v>20045600</v>
      </c>
      <c r="I30" s="22">
        <f t="shared" si="19"/>
        <v>50000</v>
      </c>
      <c r="J30" s="22">
        <f t="shared" si="19"/>
        <v>0</v>
      </c>
      <c r="K30" s="22">
        <f t="shared" si="19"/>
        <v>0</v>
      </c>
      <c r="L30" s="22">
        <f t="shared" si="19"/>
        <v>500000</v>
      </c>
      <c r="M30" s="22">
        <f t="shared" si="19"/>
        <v>0</v>
      </c>
      <c r="N30" s="22">
        <f t="shared" si="19"/>
        <v>0</v>
      </c>
      <c r="O30" s="22">
        <f t="shared" si="19"/>
        <v>0</v>
      </c>
      <c r="P30" s="22">
        <f t="shared" si="19"/>
        <v>0</v>
      </c>
      <c r="Q30" s="22">
        <f t="shared" si="19"/>
        <v>2000000</v>
      </c>
      <c r="R30" s="22">
        <f t="shared" si="19"/>
        <v>0</v>
      </c>
      <c r="S30" s="22">
        <f t="shared" si="19"/>
        <v>1744500</v>
      </c>
      <c r="T30" s="22">
        <f>T27+T29</f>
        <v>27790100</v>
      </c>
      <c r="U30" s="22" t="e">
        <f>U27+U29</f>
        <v>#REF!</v>
      </c>
      <c r="V30" s="22" t="e">
        <f>V27+V29</f>
        <v>#REF!</v>
      </c>
    </row>
    <row r="31" spans="1:22" ht="41.25" x14ac:dyDescent="0.25">
      <c r="A31" s="27" t="s">
        <v>32</v>
      </c>
      <c r="B31" s="28" t="s">
        <v>33</v>
      </c>
      <c r="C31" s="10" t="s">
        <v>34</v>
      </c>
      <c r="D31" s="10" t="s">
        <v>85</v>
      </c>
      <c r="E31" s="1">
        <v>700000</v>
      </c>
      <c r="F31" s="1">
        <f>400000+300000</f>
        <v>700000</v>
      </c>
      <c r="G31" s="1"/>
      <c r="H31" s="1">
        <f>297155+1050131.288</f>
        <v>1347286.2879999999</v>
      </c>
      <c r="I31" s="1"/>
      <c r="J31" s="1"/>
      <c r="K31" s="1"/>
      <c r="L31" s="1"/>
      <c r="M31" s="1"/>
      <c r="N31" s="1"/>
      <c r="O31" s="1"/>
      <c r="P31" s="11"/>
      <c r="Q31" s="12">
        <v>11100000</v>
      </c>
      <c r="R31" s="12">
        <v>300000</v>
      </c>
      <c r="S31" s="12">
        <f>718558+200000</f>
        <v>918558</v>
      </c>
      <c r="T31" s="1">
        <f>+E31+F31+G31+H31+I31+J31+K31+L31+M31+N31+O31+P31+Q31+R31+S31</f>
        <v>15065844.287999999</v>
      </c>
      <c r="U31" s="38" t="e">
        <f>#REF!+#REF!+#REF!+#REF!+#REF!+#REF!+#REF!</f>
        <v>#REF!</v>
      </c>
      <c r="V31" s="38" t="e">
        <f>#REF!+#REF!+#REF!+#REF!+#REF!+#REF!+#REF!+#REF!+#REF!+#REF!+#REF!+#REF!+#REF!+#REF!</f>
        <v>#REF!</v>
      </c>
    </row>
    <row r="32" spans="1:22" ht="24.75" x14ac:dyDescent="0.25">
      <c r="A32" s="27"/>
      <c r="B32" s="28"/>
      <c r="C32" s="10" t="s">
        <v>35</v>
      </c>
      <c r="D32" s="10" t="s">
        <v>85</v>
      </c>
      <c r="E32" s="2"/>
      <c r="F32" s="2">
        <v>400000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>
        <f>+E32+F32+G32+H32+I32+J32+K32+L32+M32+N32+O32+P32+Q32+R32+S32</f>
        <v>400000</v>
      </c>
      <c r="U32" s="38" t="e">
        <f>#REF!+#REF!+#REF!+#REF!+#REF!+#REF!+#REF!</f>
        <v>#REF!</v>
      </c>
      <c r="V32" s="38" t="e">
        <f>#REF!+#REF!+#REF!+#REF!+#REF!+#REF!+#REF!+#REF!+#REF!+#REF!+#REF!+#REF!+#REF!+#REF!</f>
        <v>#REF!</v>
      </c>
    </row>
    <row r="33" spans="1:22" x14ac:dyDescent="0.25">
      <c r="A33" s="27"/>
      <c r="B33" s="28"/>
      <c r="C33" s="33" t="s">
        <v>18</v>
      </c>
      <c r="D33" s="33"/>
      <c r="E33" s="45">
        <f t="shared" ref="E33:S33" si="20">E31+E32</f>
        <v>700000</v>
      </c>
      <c r="F33" s="45">
        <f t="shared" si="20"/>
        <v>1100000</v>
      </c>
      <c r="G33" s="45">
        <f t="shared" si="20"/>
        <v>0</v>
      </c>
      <c r="H33" s="45">
        <f t="shared" si="20"/>
        <v>1347286.2879999999</v>
      </c>
      <c r="I33" s="45">
        <f t="shared" si="20"/>
        <v>0</v>
      </c>
      <c r="J33" s="45">
        <f t="shared" si="20"/>
        <v>0</v>
      </c>
      <c r="K33" s="45">
        <f t="shared" si="20"/>
        <v>0</v>
      </c>
      <c r="L33" s="45">
        <f t="shared" si="20"/>
        <v>0</v>
      </c>
      <c r="M33" s="45">
        <f t="shared" si="20"/>
        <v>0</v>
      </c>
      <c r="N33" s="45">
        <f t="shared" si="20"/>
        <v>0</v>
      </c>
      <c r="O33" s="45">
        <f t="shared" si="20"/>
        <v>0</v>
      </c>
      <c r="P33" s="45">
        <f t="shared" si="20"/>
        <v>0</v>
      </c>
      <c r="Q33" s="45">
        <f t="shared" si="20"/>
        <v>11100000</v>
      </c>
      <c r="R33" s="45">
        <f>R31+R32</f>
        <v>300000</v>
      </c>
      <c r="S33" s="45">
        <f t="shared" si="20"/>
        <v>918558</v>
      </c>
      <c r="T33" s="45">
        <f>T31+T32</f>
        <v>15465844.287999999</v>
      </c>
      <c r="U33" s="45" t="e">
        <f>U31+U32</f>
        <v>#REF!</v>
      </c>
      <c r="V33" s="45" t="e">
        <f>V31+V32</f>
        <v>#REF!</v>
      </c>
    </row>
    <row r="34" spans="1:22" x14ac:dyDescent="0.25">
      <c r="A34" s="27"/>
      <c r="B34" s="28" t="s">
        <v>36</v>
      </c>
      <c r="C34" s="55" t="s">
        <v>37</v>
      </c>
      <c r="D34" s="13" t="s">
        <v>86</v>
      </c>
      <c r="E34" s="1">
        <f>7893525788/1000</f>
        <v>7893525.7879999997</v>
      </c>
      <c r="F34" s="1"/>
      <c r="G34" s="1"/>
      <c r="H34" s="1"/>
      <c r="I34" s="35"/>
      <c r="J34" s="1"/>
      <c r="K34" s="1"/>
      <c r="L34" s="1"/>
      <c r="M34" s="1"/>
      <c r="N34" s="1">
        <f>7672720714/1000</f>
        <v>7672720.7139999997</v>
      </c>
      <c r="O34" s="1"/>
      <c r="P34" s="1"/>
      <c r="Q34" s="1"/>
      <c r="R34" s="1"/>
      <c r="S34" s="1"/>
      <c r="T34" s="1">
        <f>+E34+F34+G34+H34+I34+J34+K34+L34+M34+N34+O34+P34+Q34+R34+S34</f>
        <v>15566246.502</v>
      </c>
      <c r="U34" s="38" t="e">
        <f>#REF!+#REF!+#REF!+#REF!+#REF!+#REF!+#REF!</f>
        <v>#REF!</v>
      </c>
      <c r="V34" s="38" t="e">
        <f>#REF!+#REF!+#REF!+#REF!+#REF!+#REF!+#REF!+#REF!+#REF!+#REF!+#REF!+#REF!+#REF!+#REF!</f>
        <v>#REF!</v>
      </c>
    </row>
    <row r="35" spans="1:22" x14ac:dyDescent="0.25">
      <c r="A35" s="27"/>
      <c r="B35" s="28"/>
      <c r="C35" s="55"/>
      <c r="D35" s="13" t="s">
        <v>87</v>
      </c>
      <c r="E35" s="1"/>
      <c r="F35" s="1"/>
      <c r="G35" s="1"/>
      <c r="H35" s="1"/>
      <c r="I35" s="35"/>
      <c r="J35" s="1"/>
      <c r="K35" s="1"/>
      <c r="L35" s="1"/>
      <c r="M35" s="1"/>
      <c r="N35" s="1"/>
      <c r="O35" s="1"/>
      <c r="P35" s="1"/>
      <c r="Q35" s="1"/>
      <c r="R35" s="1"/>
      <c r="S35" s="1"/>
      <c r="T35" s="1">
        <f>E35+F35+G35+H35+I35+J35+K35+L35+M35+N35+O35+P35+Q35+R35+S35</f>
        <v>0</v>
      </c>
      <c r="U35" s="38" t="e">
        <f>#REF!+#REF!+#REF!+#REF!+#REF!+#REF!+#REF!</f>
        <v>#REF!</v>
      </c>
      <c r="V35" s="38" t="e">
        <f>#REF!+#REF!+#REF!+#REF!+#REF!+#REF!+#REF!+#REF!+#REF!+#REF!+#REF!+#REF!+#REF!+#REF!</f>
        <v>#REF!</v>
      </c>
    </row>
    <row r="36" spans="1:22" x14ac:dyDescent="0.25">
      <c r="A36" s="27"/>
      <c r="B36" s="28"/>
      <c r="C36" s="55"/>
      <c r="D36" s="13" t="s">
        <v>88</v>
      </c>
      <c r="E36" s="1"/>
      <c r="F36" s="1"/>
      <c r="G36" s="1"/>
      <c r="H36" s="1"/>
      <c r="I36" s="35"/>
      <c r="J36" s="1"/>
      <c r="K36" s="1"/>
      <c r="L36" s="1"/>
      <c r="M36" s="1"/>
      <c r="N36" s="1"/>
      <c r="O36" s="1"/>
      <c r="P36" s="1"/>
      <c r="Q36" s="1"/>
      <c r="R36" s="1"/>
      <c r="S36" s="1"/>
      <c r="T36" s="1">
        <f>E36+F36+G36+H36+I36+J36+K36+L36+M36+N36+O36+P36+Q36+R36+S36</f>
        <v>0</v>
      </c>
      <c r="U36" s="38" t="e">
        <f>#REF!+#REF!+#REF!+#REF!+#REF!+#REF!+#REF!</f>
        <v>#REF!</v>
      </c>
      <c r="V36" s="38" t="e">
        <f>#REF!+#REF!+#REF!+#REF!+#REF!+#REF!+#REF!+#REF!+#REF!+#REF!+#REF!+#REF!+#REF!+#REF!</f>
        <v>#REF!</v>
      </c>
    </row>
    <row r="37" spans="1:22" ht="16.5" x14ac:dyDescent="0.25">
      <c r="A37" s="27"/>
      <c r="B37" s="28"/>
      <c r="C37" s="55"/>
      <c r="D37" s="13" t="s">
        <v>89</v>
      </c>
      <c r="E37" s="1"/>
      <c r="F37" s="1"/>
      <c r="G37" s="1"/>
      <c r="H37" s="1"/>
      <c r="I37" s="35"/>
      <c r="J37" s="1"/>
      <c r="K37" s="1"/>
      <c r="L37" s="1"/>
      <c r="M37" s="1"/>
      <c r="N37" s="1"/>
      <c r="O37" s="1"/>
      <c r="P37" s="1"/>
      <c r="Q37" s="1"/>
      <c r="R37" s="1"/>
      <c r="S37" s="1"/>
      <c r="T37" s="1">
        <f>E37+F37+G37+H37+I37+J37+K37+L37+M37+N37+O37+P37+Q37+R37+S37</f>
        <v>0</v>
      </c>
      <c r="U37" s="38" t="e">
        <f>#REF!+#REF!+#REF!+#REF!+#REF!+#REF!+#REF!</f>
        <v>#REF!</v>
      </c>
      <c r="V37" s="38" t="e">
        <f>#REF!+#REF!+#REF!+#REF!+#REF!+#REF!+#REF!+#REF!+#REF!+#REF!+#REF!+#REF!+#REF!+#REF!</f>
        <v>#REF!</v>
      </c>
    </row>
    <row r="38" spans="1:22" ht="57.75" x14ac:dyDescent="0.25">
      <c r="A38" s="27"/>
      <c r="B38" s="28"/>
      <c r="C38" s="10" t="s">
        <v>108</v>
      </c>
      <c r="D38" s="10" t="s">
        <v>85</v>
      </c>
      <c r="E38" s="1">
        <f>461927826/1000</f>
        <v>461927.826</v>
      </c>
      <c r="F38" s="1">
        <f>550000+332500+667000</f>
        <v>1549500</v>
      </c>
      <c r="G38" s="1"/>
      <c r="H38" s="1"/>
      <c r="I38" s="1">
        <v>55000</v>
      </c>
      <c r="J38" s="1"/>
      <c r="K38" s="1"/>
      <c r="L38" s="1"/>
      <c r="M38" s="1"/>
      <c r="N38" s="1"/>
      <c r="O38" s="1"/>
      <c r="P38" s="1"/>
      <c r="Q38" s="1"/>
      <c r="R38" s="1"/>
      <c r="S38" s="1">
        <f>280000</f>
        <v>280000</v>
      </c>
      <c r="T38" s="1">
        <f>+E38+F38+G38+H38+I38+J38+K38+L38+M38+N38+O38+P38+Q38+R38+S38</f>
        <v>2346427.8259999999</v>
      </c>
      <c r="U38" s="38" t="e">
        <f>#REF!+#REF!+#REF!+#REF!+#REF!+#REF!+#REF!</f>
        <v>#REF!</v>
      </c>
      <c r="V38" s="38" t="e">
        <f>#REF!+#REF!+#REF!+#REF!+#REF!+#REF!+#REF!+#REF!+#REF!+#REF!+#REF!+#REF!+#REF!+#REF!</f>
        <v>#REF!</v>
      </c>
    </row>
    <row r="39" spans="1:22" x14ac:dyDescent="0.25">
      <c r="A39" s="27"/>
      <c r="B39" s="28"/>
      <c r="C39" s="41" t="s">
        <v>18</v>
      </c>
      <c r="D39" s="41"/>
      <c r="E39" s="39">
        <f>SUM(E34:E38)</f>
        <v>8355453.6140000001</v>
      </c>
      <c r="F39" s="39">
        <f t="shared" ref="F39:T39" si="21">SUM(F34:F38)</f>
        <v>1549500</v>
      </c>
      <c r="G39" s="39">
        <f t="shared" si="21"/>
        <v>0</v>
      </c>
      <c r="H39" s="39">
        <f t="shared" si="21"/>
        <v>0</v>
      </c>
      <c r="I39" s="39">
        <f t="shared" si="21"/>
        <v>55000</v>
      </c>
      <c r="J39" s="39">
        <f t="shared" si="21"/>
        <v>0</v>
      </c>
      <c r="K39" s="39">
        <f t="shared" si="21"/>
        <v>0</v>
      </c>
      <c r="L39" s="39">
        <f t="shared" si="21"/>
        <v>0</v>
      </c>
      <c r="M39" s="39">
        <f t="shared" si="21"/>
        <v>0</v>
      </c>
      <c r="N39" s="39">
        <f t="shared" si="21"/>
        <v>7672720.7139999997</v>
      </c>
      <c r="O39" s="39">
        <f t="shared" si="21"/>
        <v>0</v>
      </c>
      <c r="P39" s="39">
        <f t="shared" si="21"/>
        <v>0</v>
      </c>
      <c r="Q39" s="39">
        <f t="shared" si="21"/>
        <v>0</v>
      </c>
      <c r="R39" s="39">
        <f t="shared" si="21"/>
        <v>0</v>
      </c>
      <c r="S39" s="39">
        <f t="shared" si="21"/>
        <v>280000</v>
      </c>
      <c r="T39" s="39">
        <f t="shared" si="21"/>
        <v>17912674.328000002</v>
      </c>
      <c r="U39" s="39" t="e">
        <f>SUM(U34:U38)</f>
        <v>#REF!</v>
      </c>
      <c r="V39" s="39" t="e">
        <f>SUM(V34:V38)</f>
        <v>#REF!</v>
      </c>
    </row>
    <row r="40" spans="1:22" ht="33" x14ac:dyDescent="0.25">
      <c r="A40" s="27"/>
      <c r="B40" s="28" t="s">
        <v>38</v>
      </c>
      <c r="C40" s="13" t="s">
        <v>39</v>
      </c>
      <c r="D40" s="13" t="s">
        <v>90</v>
      </c>
      <c r="E40" s="1"/>
      <c r="F40" s="1"/>
      <c r="G40" s="1"/>
      <c r="H40" s="1">
        <v>1642600.007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150000</v>
      </c>
      <c r="T40" s="1">
        <f>+E40+F40+G40+H40+I40+J40+K40+L40+M40+N40+O40+P40+Q40+R40+S40</f>
        <v>1792600.007</v>
      </c>
      <c r="U40" s="38" t="e">
        <f>#REF!+#REF!+#REF!+#REF!+#REF!+#REF!+#REF!</f>
        <v>#REF!</v>
      </c>
      <c r="V40" s="38" t="e">
        <f>#REF!+#REF!+#REF!+#REF!+#REF!+#REF!+#REF!+#REF!+#REF!+#REF!+#REF!+#REF!+#REF!+#REF!</f>
        <v>#REF!</v>
      </c>
    </row>
    <row r="41" spans="1:22" x14ac:dyDescent="0.25">
      <c r="A41" s="27"/>
      <c r="B41" s="28"/>
      <c r="C41" s="41" t="s">
        <v>18</v>
      </c>
      <c r="D41" s="41"/>
      <c r="E41" s="39">
        <f t="shared" ref="E41:S41" si="22">E40</f>
        <v>0</v>
      </c>
      <c r="F41" s="39">
        <f t="shared" si="22"/>
        <v>0</v>
      </c>
      <c r="G41" s="39">
        <f t="shared" si="22"/>
        <v>0</v>
      </c>
      <c r="H41" s="39">
        <f t="shared" si="22"/>
        <v>1642600.007</v>
      </c>
      <c r="I41" s="39">
        <f t="shared" si="22"/>
        <v>0</v>
      </c>
      <c r="J41" s="39">
        <f t="shared" si="22"/>
        <v>0</v>
      </c>
      <c r="K41" s="39">
        <f t="shared" si="22"/>
        <v>0</v>
      </c>
      <c r="L41" s="39">
        <f t="shared" si="22"/>
        <v>0</v>
      </c>
      <c r="M41" s="39">
        <f t="shared" si="22"/>
        <v>0</v>
      </c>
      <c r="N41" s="39">
        <f t="shared" si="22"/>
        <v>0</v>
      </c>
      <c r="O41" s="39">
        <f t="shared" si="22"/>
        <v>0</v>
      </c>
      <c r="P41" s="39">
        <f t="shared" si="22"/>
        <v>0</v>
      </c>
      <c r="Q41" s="39">
        <f t="shared" si="22"/>
        <v>0</v>
      </c>
      <c r="R41" s="39">
        <f t="shared" si="22"/>
        <v>0</v>
      </c>
      <c r="S41" s="39">
        <f t="shared" si="22"/>
        <v>150000</v>
      </c>
      <c r="T41" s="39">
        <f>T40</f>
        <v>1792600.007</v>
      </c>
      <c r="U41" s="39" t="e">
        <f>U40</f>
        <v>#REF!</v>
      </c>
      <c r="V41" s="39" t="e">
        <f>V40</f>
        <v>#REF!</v>
      </c>
    </row>
    <row r="42" spans="1:22" ht="16.5" x14ac:dyDescent="0.25">
      <c r="A42" s="27"/>
      <c r="B42" s="27" t="s">
        <v>40</v>
      </c>
      <c r="C42" s="13" t="s">
        <v>41</v>
      </c>
      <c r="D42" s="13" t="s">
        <v>91</v>
      </c>
      <c r="E42" s="9"/>
      <c r="F42" s="9"/>
      <c r="G42" s="9"/>
      <c r="H42" s="1">
        <v>4204838.8789999997</v>
      </c>
      <c r="I42" s="1"/>
      <c r="J42" s="1"/>
      <c r="K42" s="1"/>
      <c r="L42" s="1"/>
      <c r="M42" s="1"/>
      <c r="N42" s="1"/>
      <c r="O42" s="9"/>
      <c r="P42" s="1">
        <v>545225</v>
      </c>
      <c r="Q42" s="9"/>
      <c r="R42" s="9"/>
      <c r="S42" s="9"/>
      <c r="T42" s="1">
        <f>+E42+F42+G42+H42+I42+J42+K42+L42+M42+N42+O42+P42+Q42+R42+S42</f>
        <v>4750063.8789999997</v>
      </c>
      <c r="U42" s="38" t="e">
        <f>#REF!+#REF!+#REF!+#REF!+#REF!+#REF!+#REF!</f>
        <v>#REF!</v>
      </c>
      <c r="V42" s="38" t="e">
        <f>#REF!+#REF!+#REF!+#REF!+#REF!+#REF!+#REF!+#REF!+#REF!+#REF!+#REF!+#REF!+#REF!+#REF!</f>
        <v>#REF!</v>
      </c>
    </row>
    <row r="43" spans="1:22" x14ac:dyDescent="0.25">
      <c r="A43" s="27"/>
      <c r="B43" s="27"/>
      <c r="C43" s="41" t="s">
        <v>18</v>
      </c>
      <c r="D43" s="41"/>
      <c r="E43" s="22">
        <f t="shared" ref="E43:S43" si="23">E42</f>
        <v>0</v>
      </c>
      <c r="F43" s="22">
        <f t="shared" si="23"/>
        <v>0</v>
      </c>
      <c r="G43" s="22">
        <f t="shared" si="23"/>
        <v>0</v>
      </c>
      <c r="H43" s="22">
        <f t="shared" si="23"/>
        <v>4204838.8789999997</v>
      </c>
      <c r="I43" s="22">
        <f t="shared" si="23"/>
        <v>0</v>
      </c>
      <c r="J43" s="22">
        <f t="shared" si="23"/>
        <v>0</v>
      </c>
      <c r="K43" s="22">
        <f t="shared" si="23"/>
        <v>0</v>
      </c>
      <c r="L43" s="22">
        <f t="shared" si="23"/>
        <v>0</v>
      </c>
      <c r="M43" s="22">
        <f t="shared" si="23"/>
        <v>0</v>
      </c>
      <c r="N43" s="22">
        <f t="shared" si="23"/>
        <v>0</v>
      </c>
      <c r="O43" s="22">
        <f t="shared" si="23"/>
        <v>0</v>
      </c>
      <c r="P43" s="22">
        <f t="shared" si="23"/>
        <v>545225</v>
      </c>
      <c r="Q43" s="22">
        <f t="shared" si="23"/>
        <v>0</v>
      </c>
      <c r="R43" s="22">
        <f t="shared" si="23"/>
        <v>0</v>
      </c>
      <c r="S43" s="22">
        <f t="shared" si="23"/>
        <v>0</v>
      </c>
      <c r="T43" s="22">
        <f>T42</f>
        <v>4750063.8789999997</v>
      </c>
      <c r="U43" s="22" t="e">
        <f>U42</f>
        <v>#REF!</v>
      </c>
      <c r="V43" s="22" t="e">
        <f>V42</f>
        <v>#REF!</v>
      </c>
    </row>
    <row r="44" spans="1:22" ht="24.75" x14ac:dyDescent="0.25">
      <c r="A44" s="27"/>
      <c r="B44" s="29" t="s">
        <v>42</v>
      </c>
      <c r="C44" s="54" t="s">
        <v>43</v>
      </c>
      <c r="D44" s="10" t="s">
        <v>92</v>
      </c>
      <c r="E44" s="35"/>
      <c r="F44" s="1"/>
      <c r="G44" s="35"/>
      <c r="H44" s="35"/>
      <c r="I44" s="35"/>
      <c r="J44" s="1"/>
      <c r="K44" s="1"/>
      <c r="L44" s="1"/>
      <c r="M44" s="1">
        <v>18000402.085000001</v>
      </c>
      <c r="N44" s="1"/>
      <c r="O44" s="1"/>
      <c r="P44" s="1"/>
      <c r="Q44" s="35"/>
      <c r="R44" s="1"/>
      <c r="S44" s="35"/>
      <c r="T44" s="1">
        <f>E44+F44+G44+H44+I44+J44+K44+L44+M44+N44+O44+P44+Q44+R44+S44</f>
        <v>18000402.085000001</v>
      </c>
      <c r="U44" s="38" t="e">
        <f>#REF!+#REF!+#REF!+#REF!+#REF!+#REF!+#REF!</f>
        <v>#REF!</v>
      </c>
      <c r="V44" s="38" t="e">
        <f>#REF!+#REF!+#REF!+#REF!+#REF!+#REF!+#REF!+#REF!+#REF!+#REF!+#REF!+#REF!+#REF!+#REF!</f>
        <v>#REF!</v>
      </c>
    </row>
    <row r="45" spans="1:22" ht="16.5" x14ac:dyDescent="0.25">
      <c r="A45" s="27"/>
      <c r="B45" s="29"/>
      <c r="C45" s="54"/>
      <c r="D45" s="10" t="s">
        <v>75</v>
      </c>
      <c r="E45" s="1">
        <v>2200000</v>
      </c>
      <c r="F45" s="1">
        <v>510000</v>
      </c>
      <c r="G45" s="1">
        <v>823776.81400000001</v>
      </c>
      <c r="H45" s="19">
        <f>300417.236+704200+140840+71398.258</f>
        <v>1216855.4939999999</v>
      </c>
      <c r="I45" s="1">
        <v>185000</v>
      </c>
      <c r="J45" s="1"/>
      <c r="K45" s="1"/>
      <c r="L45" s="1"/>
      <c r="M45" s="1"/>
      <c r="N45" s="1"/>
      <c r="O45" s="35"/>
      <c r="P45" s="1"/>
      <c r="Q45" s="35"/>
      <c r="R45" s="1"/>
      <c r="S45" s="1">
        <v>300000</v>
      </c>
      <c r="T45" s="1">
        <f>+E45+F45+G45+H45+I45+J45+K45+L45+M45+N45+O45+P45+Q45+R45+S45</f>
        <v>5235632.3080000002</v>
      </c>
      <c r="U45" s="38" t="e">
        <f>#REF!+#REF!+#REF!+#REF!+#REF!+#REF!+#REF!</f>
        <v>#REF!</v>
      </c>
      <c r="V45" s="38" t="e">
        <f>#REF!+#REF!+#REF!+#REF!+#REF!+#REF!+#REF!+#REF!+#REF!+#REF!+#REF!+#REF!+#REF!+#REF!</f>
        <v>#REF!</v>
      </c>
    </row>
    <row r="46" spans="1:22" x14ac:dyDescent="0.25">
      <c r="A46" s="27"/>
      <c r="B46" s="29"/>
      <c r="C46" s="56" t="s">
        <v>44</v>
      </c>
      <c r="D46" s="10" t="s">
        <v>93</v>
      </c>
      <c r="E46" s="1"/>
      <c r="F46" s="1">
        <f>6396244.871+1000000+4000000</f>
        <v>11396244.870999999</v>
      </c>
      <c r="G46" s="1">
        <v>3000000</v>
      </c>
      <c r="H46" s="1">
        <v>2703755.1290000002</v>
      </c>
      <c r="I46" s="1"/>
      <c r="J46" s="1"/>
      <c r="K46" s="1"/>
      <c r="L46" s="1"/>
      <c r="M46" s="1"/>
      <c r="N46" s="1"/>
      <c r="O46" s="1"/>
      <c r="P46" s="24">
        <f>38314974473.58/1000</f>
        <v>38314974.473580003</v>
      </c>
      <c r="Q46" s="1"/>
      <c r="R46" s="1"/>
      <c r="S46" s="1">
        <f>16144354103.85/1000+200000+13</f>
        <v>16344367.10385</v>
      </c>
      <c r="T46" s="1">
        <f>+E46+F46+G46+H46+I46+J46+K46+L46+M46+N46+O46+P46+Q46+R46+S46</f>
        <v>71759341.57743001</v>
      </c>
      <c r="U46" s="38" t="e">
        <f>#REF!+#REF!+#REF!+#REF!+#REF!+#REF!+#REF!</f>
        <v>#REF!</v>
      </c>
      <c r="V46" s="38" t="e">
        <f>#REF!+#REF!+#REF!+#REF!+#REF!+#REF!+#REF!+#REF!+#REF!+#REF!+#REF!+#REF!+#REF!+#REF!</f>
        <v>#REF!</v>
      </c>
    </row>
    <row r="47" spans="1:22" ht="24.75" x14ac:dyDescent="0.25">
      <c r="A47" s="27"/>
      <c r="B47" s="29"/>
      <c r="C47" s="57"/>
      <c r="D47" s="10" t="s">
        <v>92</v>
      </c>
      <c r="E47" s="1"/>
      <c r="F47" s="1"/>
      <c r="G47" s="1"/>
      <c r="H47" s="1"/>
      <c r="I47" s="1"/>
      <c r="J47" s="1"/>
      <c r="K47" s="1"/>
      <c r="L47" s="1"/>
      <c r="M47" s="1">
        <v>1844385.216</v>
      </c>
      <c r="N47" s="1"/>
      <c r="O47" s="1"/>
      <c r="P47" s="7"/>
      <c r="Q47" s="1"/>
      <c r="R47" s="1"/>
      <c r="S47" s="1"/>
      <c r="T47" s="1">
        <f>E47+F47+G47+H47+I47+J47+K47+L47+M47+N47+O47+P47+Q47+R47+S47</f>
        <v>1844385.216</v>
      </c>
      <c r="U47" s="38"/>
      <c r="V47" s="38"/>
    </row>
    <row r="48" spans="1:22" x14ac:dyDescent="0.25">
      <c r="A48" s="27"/>
      <c r="B48" s="29"/>
      <c r="C48" s="41" t="s">
        <v>18</v>
      </c>
      <c r="D48" s="41"/>
      <c r="E48" s="22">
        <f>SUM(E45:E46)</f>
        <v>2200000</v>
      </c>
      <c r="F48" s="22">
        <f t="shared" ref="F48:R48" si="24">SUM(F44:F46)</f>
        <v>11906244.870999999</v>
      </c>
      <c r="G48" s="22">
        <f>SUM(G45:G46)</f>
        <v>3823776.8140000002</v>
      </c>
      <c r="H48" s="22">
        <f>SUM(H45:H46)</f>
        <v>3920610.6230000001</v>
      </c>
      <c r="I48" s="22">
        <f>SUM(I45:I46)</f>
        <v>185000</v>
      </c>
      <c r="J48" s="22">
        <f t="shared" si="24"/>
        <v>0</v>
      </c>
      <c r="K48" s="22">
        <f t="shared" si="24"/>
        <v>0</v>
      </c>
      <c r="L48" s="22">
        <f t="shared" si="24"/>
        <v>0</v>
      </c>
      <c r="M48" s="22">
        <f>SUM(M44:M47)</f>
        <v>19844787.300999999</v>
      </c>
      <c r="N48" s="22">
        <f t="shared" si="24"/>
        <v>0</v>
      </c>
      <c r="O48" s="22">
        <f t="shared" si="24"/>
        <v>0</v>
      </c>
      <c r="P48" s="22">
        <f t="shared" si="24"/>
        <v>38314974.473580003</v>
      </c>
      <c r="Q48" s="22">
        <f t="shared" si="24"/>
        <v>0</v>
      </c>
      <c r="R48" s="22">
        <f t="shared" si="24"/>
        <v>0</v>
      </c>
      <c r="S48" s="22">
        <f>SUM(S45:S46)</f>
        <v>16644367.10385</v>
      </c>
      <c r="T48" s="1">
        <f>E48+F48+G48+H48+I48+J48+K48+L48+M48+N48+O48+P48+Q48+R48+S48</f>
        <v>96839761.186430007</v>
      </c>
      <c r="U48" s="22" t="e">
        <f>SUM(U44:U46)</f>
        <v>#REF!</v>
      </c>
      <c r="V48" s="22" t="e">
        <f>SUM(V44:V46)</f>
        <v>#REF!</v>
      </c>
    </row>
    <row r="49" spans="1:23" ht="16.5" x14ac:dyDescent="0.25">
      <c r="A49" s="27"/>
      <c r="B49" s="30" t="s">
        <v>45</v>
      </c>
      <c r="C49" s="54" t="s">
        <v>109</v>
      </c>
      <c r="D49" s="10" t="s">
        <v>94</v>
      </c>
      <c r="E49" s="1"/>
      <c r="F49" s="1"/>
      <c r="G49" s="1"/>
      <c r="H49" s="1"/>
      <c r="I49" s="1">
        <v>900000</v>
      </c>
      <c r="J49" s="1"/>
      <c r="K49" s="1"/>
      <c r="L49" s="1"/>
      <c r="M49" s="1"/>
      <c r="N49" s="1"/>
      <c r="O49" s="1"/>
      <c r="P49" s="1"/>
      <c r="Q49" s="1"/>
      <c r="R49" s="1">
        <v>40000</v>
      </c>
      <c r="S49" s="40">
        <v>500000</v>
      </c>
      <c r="T49" s="1">
        <f>E49+F49+G49+H49+I49+J49+K49+L49+M49+N49+O49+P49+Q49+R49+S49</f>
        <v>1440000</v>
      </c>
      <c r="U49" s="38" t="e">
        <f>#REF!+#REF!+#REF!+#REF!+#REF!+#REF!+#REF!</f>
        <v>#REF!</v>
      </c>
      <c r="V49" s="38" t="e">
        <f>#REF!+#REF!+#REF!+#REF!+#REF!+#REF!+#REF!+#REF!+#REF!+#REF!+#REF!+#REF!+#REF!+#REF!</f>
        <v>#REF!</v>
      </c>
    </row>
    <row r="50" spans="1:23" ht="16.5" x14ac:dyDescent="0.25">
      <c r="A50" s="27"/>
      <c r="B50" s="30"/>
      <c r="C50" s="54"/>
      <c r="D50" s="10" t="s">
        <v>67</v>
      </c>
      <c r="E50" s="1"/>
      <c r="F50" s="1">
        <v>1670000</v>
      </c>
      <c r="G50" s="1"/>
      <c r="H50" s="1">
        <v>4940532.4890000001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4">
        <f>1600000</f>
        <v>1600000</v>
      </c>
      <c r="T50" s="1">
        <f>E50+F50+G50+H50+I50+J50+K50+L50+M50+N50+O50+P50+Q50+R50+S50</f>
        <v>8210532.4890000001</v>
      </c>
      <c r="U50" s="38" t="e">
        <f>#REF!+#REF!+#REF!+#REF!+#REF!+#REF!+#REF!</f>
        <v>#REF!</v>
      </c>
      <c r="V50" s="38" t="e">
        <f>#REF!+#REF!+#REF!+#REF!+#REF!+#REF!+#REF!+#REF!+#REF!+#REF!+#REF!+#REF!+#REF!+#REF!</f>
        <v>#REF!</v>
      </c>
    </row>
    <row r="51" spans="1:23" x14ac:dyDescent="0.25">
      <c r="A51" s="27"/>
      <c r="B51" s="30"/>
      <c r="C51" s="41" t="s">
        <v>18</v>
      </c>
      <c r="D51" s="41"/>
      <c r="E51" s="22">
        <f t="shared" ref="E51:G51" si="25">SUM(E49:E50)</f>
        <v>0</v>
      </c>
      <c r="F51" s="22">
        <f t="shared" si="25"/>
        <v>1670000</v>
      </c>
      <c r="G51" s="22">
        <f t="shared" si="25"/>
        <v>0</v>
      </c>
      <c r="H51" s="22">
        <f>SUM(H49:H50)</f>
        <v>4940532.4890000001</v>
      </c>
      <c r="I51" s="22">
        <f t="shared" ref="I51" si="26">SUM(I49:I50)</f>
        <v>900000</v>
      </c>
      <c r="J51" s="22">
        <f t="shared" ref="J51" si="27">SUM(J49:J50)</f>
        <v>0</v>
      </c>
      <c r="K51" s="22">
        <f t="shared" ref="K51:L51" si="28">SUM(K49:K50)</f>
        <v>0</v>
      </c>
      <c r="L51" s="22">
        <f t="shared" si="28"/>
        <v>0</v>
      </c>
      <c r="M51" s="22">
        <f t="shared" ref="M51" si="29">SUM(M49:M50)</f>
        <v>0</v>
      </c>
      <c r="N51" s="22">
        <f t="shared" ref="N51" si="30">SUM(N49:N50)</f>
        <v>0</v>
      </c>
      <c r="O51" s="22">
        <f t="shared" ref="O51:P51" si="31">SUM(O49:O50)</f>
        <v>0</v>
      </c>
      <c r="P51" s="22">
        <f t="shared" si="31"/>
        <v>0</v>
      </c>
      <c r="Q51" s="22">
        <f t="shared" ref="Q51" si="32">SUM(Q49:Q50)</f>
        <v>0</v>
      </c>
      <c r="R51" s="22">
        <f t="shared" ref="R51" si="33">SUM(R49:R50)</f>
        <v>40000</v>
      </c>
      <c r="S51" s="22">
        <f t="shared" ref="S51" si="34">SUM(S49:S50)</f>
        <v>2100000</v>
      </c>
      <c r="T51" s="22">
        <f>SUM(T49:T50)</f>
        <v>9650532.4890000001</v>
      </c>
      <c r="U51" s="22" t="e">
        <f>SUM(U49:U50)</f>
        <v>#REF!</v>
      </c>
      <c r="V51" s="22" t="e">
        <f>SUM(V49:V50)</f>
        <v>#REF!</v>
      </c>
    </row>
    <row r="52" spans="1:23" x14ac:dyDescent="0.25">
      <c r="A52" s="27"/>
      <c r="B52" s="51" t="s">
        <v>27</v>
      </c>
      <c r="C52" s="52"/>
      <c r="D52" s="53"/>
      <c r="E52" s="22">
        <f t="shared" ref="E52:T52" si="35">E51+E48+E43+E41+E39+E33</f>
        <v>11255453.614</v>
      </c>
      <c r="F52" s="22">
        <f t="shared" si="35"/>
        <v>16225744.870999999</v>
      </c>
      <c r="G52" s="22">
        <f t="shared" si="35"/>
        <v>3823776.8140000002</v>
      </c>
      <c r="H52" s="22">
        <f t="shared" si="35"/>
        <v>16055868.286</v>
      </c>
      <c r="I52" s="22">
        <f t="shared" si="35"/>
        <v>1140000</v>
      </c>
      <c r="J52" s="22">
        <f t="shared" si="35"/>
        <v>0</v>
      </c>
      <c r="K52" s="22">
        <f t="shared" si="35"/>
        <v>0</v>
      </c>
      <c r="L52" s="22">
        <f t="shared" si="35"/>
        <v>0</v>
      </c>
      <c r="M52" s="22">
        <f t="shared" si="35"/>
        <v>19844787.300999999</v>
      </c>
      <c r="N52" s="22">
        <f t="shared" si="35"/>
        <v>7672720.7139999997</v>
      </c>
      <c r="O52" s="22">
        <f t="shared" si="35"/>
        <v>0</v>
      </c>
      <c r="P52" s="22">
        <f t="shared" si="35"/>
        <v>38860199.473580003</v>
      </c>
      <c r="Q52" s="22">
        <f t="shared" si="35"/>
        <v>11100000</v>
      </c>
      <c r="R52" s="22">
        <f t="shared" si="35"/>
        <v>340000</v>
      </c>
      <c r="S52" s="22">
        <f t="shared" si="35"/>
        <v>20092925.10385</v>
      </c>
      <c r="T52" s="22">
        <f t="shared" si="35"/>
        <v>146411476.17742997</v>
      </c>
      <c r="U52" s="22" t="e">
        <f>U51+U48+U43+U41+U39+U33</f>
        <v>#REF!</v>
      </c>
      <c r="V52" s="22" t="e">
        <f>V51+V48+V43+V41+V39+V33</f>
        <v>#REF!</v>
      </c>
    </row>
    <row r="53" spans="1:23" ht="41.25" x14ac:dyDescent="0.25">
      <c r="A53" s="27" t="s">
        <v>46</v>
      </c>
      <c r="B53" s="27" t="s">
        <v>47</v>
      </c>
      <c r="C53" s="10" t="s">
        <v>48</v>
      </c>
      <c r="D53" s="10" t="s">
        <v>95</v>
      </c>
      <c r="E53" s="1">
        <v>1300000</v>
      </c>
      <c r="F53" s="1">
        <v>200000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v>1000000</v>
      </c>
      <c r="R53" s="1"/>
      <c r="S53" s="1"/>
      <c r="T53" s="1">
        <f>E53+F53+G53+H53+I53+J53+K53+L53+M53+N53+O53+P53+Q53+R53+S53</f>
        <v>2500000</v>
      </c>
      <c r="U53" s="38" t="e">
        <f>#REF!+#REF!+#REF!+#REF!+#REF!+#REF!+#REF!</f>
        <v>#REF!</v>
      </c>
      <c r="V53" s="38" t="e">
        <f>#REF!+#REF!+#REF!+#REF!+#REF!+#REF!+#REF!+#REF!+#REF!+#REF!+#REF!+#REF!+#REF!+#REF!</f>
        <v>#REF!</v>
      </c>
      <c r="W53" s="14" t="s">
        <v>119</v>
      </c>
    </row>
    <row r="54" spans="1:23" ht="82.5" x14ac:dyDescent="0.25">
      <c r="A54" s="27"/>
      <c r="B54" s="27"/>
      <c r="C54" s="10" t="s">
        <v>49</v>
      </c>
      <c r="D54" s="10" t="s">
        <v>96</v>
      </c>
      <c r="E54" s="1">
        <v>700000</v>
      </c>
      <c r="F54" s="1">
        <f>700000+17327.005000092+51589</f>
        <v>768916.00500009197</v>
      </c>
      <c r="G54" s="1"/>
      <c r="H54" s="1"/>
      <c r="I54" s="1">
        <v>404440</v>
      </c>
      <c r="J54" s="1"/>
      <c r="K54" s="1"/>
      <c r="L54" s="1"/>
      <c r="M54" s="1"/>
      <c r="N54" s="1"/>
      <c r="O54" s="1"/>
      <c r="P54" s="1"/>
      <c r="Q54" s="1"/>
      <c r="R54" s="1"/>
      <c r="S54" s="1">
        <f>1555000+578233</f>
        <v>2133233</v>
      </c>
      <c r="T54" s="1">
        <f>E54+F54+G54+H54+I54+J54+K54+L54+M54+N54+O54+P54+Q54+R54+S54</f>
        <v>4006589.0050000921</v>
      </c>
      <c r="U54" s="38" t="e">
        <f>#REF!+#REF!+#REF!+#REF!+#REF!+#REF!+#REF!</f>
        <v>#REF!</v>
      </c>
      <c r="V54" s="38" t="e">
        <f>#REF!+#REF!+#REF!+#REF!+#REF!+#REF!+#REF!+#REF!+#REF!+#REF!+#REF!+#REF!+#REF!+#REF!</f>
        <v>#REF!</v>
      </c>
    </row>
    <row r="55" spans="1:23" ht="33" x14ac:dyDescent="0.25">
      <c r="A55" s="27"/>
      <c r="B55" s="27"/>
      <c r="C55" s="10" t="s">
        <v>50</v>
      </c>
      <c r="D55" s="10" t="s">
        <v>75</v>
      </c>
      <c r="E55" s="1">
        <v>1000000</v>
      </c>
      <c r="F55" s="1"/>
      <c r="G55" s="1">
        <v>1235665.22</v>
      </c>
      <c r="H55" s="1"/>
      <c r="I55" s="1"/>
      <c r="J55" s="1"/>
      <c r="K55" s="1"/>
      <c r="L55" s="1"/>
      <c r="M55" s="1"/>
      <c r="N55" s="1"/>
      <c r="O55" s="1"/>
      <c r="P55" s="1"/>
      <c r="Q55" s="1">
        <v>5000000</v>
      </c>
      <c r="R55" s="1"/>
      <c r="S55" s="1"/>
      <c r="T55" s="1">
        <f>E55+F55+G55+H55+I55+J55+K55+L55+M55+N55+O55+P55+Q55+R55+S55</f>
        <v>7235665.2199999997</v>
      </c>
      <c r="U55" s="38" t="e">
        <f>#REF!+#REF!+#REF!+#REF!+#REF!+#REF!+#REF!</f>
        <v>#REF!</v>
      </c>
      <c r="V55" s="38" t="e">
        <f>#REF!+#REF!+#REF!+#REF!+#REF!+#REF!+#REF!+#REF!+#REF!+#REF!+#REF!+#REF!+#REF!+#REF!</f>
        <v>#REF!</v>
      </c>
    </row>
    <row r="56" spans="1:23" ht="33" x14ac:dyDescent="0.25">
      <c r="A56" s="27"/>
      <c r="B56" s="27"/>
      <c r="C56" s="10" t="s">
        <v>51</v>
      </c>
      <c r="D56" s="10" t="s">
        <v>97</v>
      </c>
      <c r="E56" s="1"/>
      <c r="F56" s="1"/>
      <c r="G56" s="1"/>
      <c r="H56" s="1">
        <v>1912586.4</v>
      </c>
      <c r="I56" s="1"/>
      <c r="J56" s="1"/>
      <c r="K56" s="1"/>
      <c r="L56" s="1"/>
      <c r="M56" s="1"/>
      <c r="N56" s="1"/>
      <c r="O56" s="1"/>
      <c r="P56" s="1"/>
      <c r="Q56" s="1">
        <v>7000000</v>
      </c>
      <c r="R56" s="1"/>
      <c r="S56" s="1"/>
      <c r="T56" s="1">
        <f>E56+F56+G56+H56+I56+J56+K56+L56+M56+N56+O56+P56+Q56+R56+S56</f>
        <v>8912586.4000000004</v>
      </c>
      <c r="U56" s="38" t="e">
        <f>#REF!+#REF!+#REF!+#REF!+#REF!+#REF!+#REF!</f>
        <v>#REF!</v>
      </c>
      <c r="V56" s="38" t="e">
        <f>#REF!+#REF!+#REF!+#REF!+#REF!+#REF!+#REF!+#REF!+#REF!+#REF!+#REF!+#REF!+#REF!+#REF!</f>
        <v>#REF!</v>
      </c>
    </row>
    <row r="57" spans="1:23" x14ac:dyDescent="0.25">
      <c r="A57" s="27"/>
      <c r="B57" s="27"/>
      <c r="C57" s="33" t="s">
        <v>18</v>
      </c>
      <c r="D57" s="33"/>
      <c r="E57" s="22">
        <f t="shared" ref="E57:S57" si="36">SUM(E53:E56)</f>
        <v>3000000</v>
      </c>
      <c r="F57" s="22">
        <f t="shared" si="36"/>
        <v>968916.00500009197</v>
      </c>
      <c r="G57" s="22">
        <f t="shared" si="36"/>
        <v>1235665.22</v>
      </c>
      <c r="H57" s="22">
        <f t="shared" si="36"/>
        <v>1912586.4</v>
      </c>
      <c r="I57" s="22">
        <f t="shared" si="36"/>
        <v>404440</v>
      </c>
      <c r="J57" s="22">
        <f t="shared" si="36"/>
        <v>0</v>
      </c>
      <c r="K57" s="22">
        <f t="shared" si="36"/>
        <v>0</v>
      </c>
      <c r="L57" s="22">
        <f t="shared" si="36"/>
        <v>0</v>
      </c>
      <c r="M57" s="22">
        <f t="shared" si="36"/>
        <v>0</v>
      </c>
      <c r="N57" s="22">
        <f t="shared" si="36"/>
        <v>0</v>
      </c>
      <c r="O57" s="22">
        <f t="shared" si="36"/>
        <v>0</v>
      </c>
      <c r="P57" s="22">
        <f t="shared" si="36"/>
        <v>0</v>
      </c>
      <c r="Q57" s="22">
        <f t="shared" si="36"/>
        <v>13000000</v>
      </c>
      <c r="R57" s="22">
        <f t="shared" si="36"/>
        <v>0</v>
      </c>
      <c r="S57" s="22">
        <f t="shared" si="36"/>
        <v>2133233</v>
      </c>
      <c r="T57" s="22">
        <f>SUM(T53:T56)</f>
        <v>22654840.625000089</v>
      </c>
      <c r="U57" s="22" t="e">
        <f>SUM(U53:U56)</f>
        <v>#REF!</v>
      </c>
      <c r="V57" s="22" t="e">
        <f>SUM(V53:V56)</f>
        <v>#REF!</v>
      </c>
    </row>
    <row r="58" spans="1:23" x14ac:dyDescent="0.25">
      <c r="A58" s="27"/>
      <c r="B58" s="51" t="s">
        <v>27</v>
      </c>
      <c r="C58" s="52"/>
      <c r="D58" s="53"/>
      <c r="E58" s="22">
        <f t="shared" ref="E58:S58" si="37">E57</f>
        <v>3000000</v>
      </c>
      <c r="F58" s="22">
        <f t="shared" si="37"/>
        <v>968916.00500009197</v>
      </c>
      <c r="G58" s="22">
        <f t="shared" si="37"/>
        <v>1235665.22</v>
      </c>
      <c r="H58" s="22">
        <f t="shared" si="37"/>
        <v>1912586.4</v>
      </c>
      <c r="I58" s="22">
        <f t="shared" si="37"/>
        <v>404440</v>
      </c>
      <c r="J58" s="22">
        <f t="shared" si="37"/>
        <v>0</v>
      </c>
      <c r="K58" s="22">
        <f t="shared" si="37"/>
        <v>0</v>
      </c>
      <c r="L58" s="22">
        <f t="shared" si="37"/>
        <v>0</v>
      </c>
      <c r="M58" s="22">
        <f t="shared" si="37"/>
        <v>0</v>
      </c>
      <c r="N58" s="22">
        <f t="shared" si="37"/>
        <v>0</v>
      </c>
      <c r="O58" s="22">
        <f t="shared" si="37"/>
        <v>0</v>
      </c>
      <c r="P58" s="22">
        <f t="shared" si="37"/>
        <v>0</v>
      </c>
      <c r="Q58" s="22">
        <f t="shared" si="37"/>
        <v>13000000</v>
      </c>
      <c r="R58" s="22">
        <f t="shared" si="37"/>
        <v>0</v>
      </c>
      <c r="S58" s="22">
        <f t="shared" si="37"/>
        <v>2133233</v>
      </c>
      <c r="T58" s="22">
        <f>T57</f>
        <v>22654840.625000089</v>
      </c>
      <c r="U58" s="22" t="e">
        <f>U57</f>
        <v>#REF!</v>
      </c>
      <c r="V58" s="22" t="e">
        <f>V57</f>
        <v>#REF!</v>
      </c>
    </row>
    <row r="59" spans="1:23" ht="57.75" x14ac:dyDescent="0.25">
      <c r="A59" s="27" t="s">
        <v>52</v>
      </c>
      <c r="B59" s="27" t="s">
        <v>53</v>
      </c>
      <c r="C59" s="10" t="s">
        <v>54</v>
      </c>
      <c r="D59" s="10" t="s">
        <v>65</v>
      </c>
      <c r="E59" s="5">
        <v>400000</v>
      </c>
      <c r="F59" s="5"/>
      <c r="G59" s="5"/>
      <c r="H59" s="5"/>
      <c r="I59" s="5">
        <v>250000</v>
      </c>
      <c r="J59" s="5"/>
      <c r="K59" s="5"/>
      <c r="L59" s="5"/>
      <c r="M59" s="5"/>
      <c r="N59" s="5"/>
      <c r="O59" s="4"/>
      <c r="P59" s="4"/>
      <c r="Q59" s="4"/>
      <c r="R59" s="4"/>
      <c r="S59" s="4"/>
      <c r="T59" s="1">
        <f>E59+F59+G59+H59+I59+J59+K59+L59+M59+N59+O59+P59+Q59+R59+S59</f>
        <v>650000</v>
      </c>
      <c r="U59" s="38" t="e">
        <f>#REF!+#REF!+#REF!+#REF!+#REF!+#REF!+#REF!</f>
        <v>#REF!</v>
      </c>
      <c r="V59" s="38" t="e">
        <f>#REF!+#REF!+#REF!+#REF!+#REF!+#REF!+#REF!+#REF!+#REF!+#REF!+#REF!+#REF!+#REF!+#REF!</f>
        <v>#REF!</v>
      </c>
    </row>
    <row r="60" spans="1:23" x14ac:dyDescent="0.25">
      <c r="A60" s="27"/>
      <c r="B60" s="27"/>
      <c r="C60" s="33" t="s">
        <v>18</v>
      </c>
      <c r="D60" s="33"/>
      <c r="E60" s="22">
        <f t="shared" ref="E60:S60" si="38">E59</f>
        <v>400000</v>
      </c>
      <c r="F60" s="22">
        <f t="shared" si="38"/>
        <v>0</v>
      </c>
      <c r="G60" s="22">
        <f t="shared" si="38"/>
        <v>0</v>
      </c>
      <c r="H60" s="22">
        <f t="shared" si="38"/>
        <v>0</v>
      </c>
      <c r="I60" s="22">
        <f t="shared" si="38"/>
        <v>250000</v>
      </c>
      <c r="J60" s="22">
        <f t="shared" si="38"/>
        <v>0</v>
      </c>
      <c r="K60" s="22">
        <f t="shared" si="38"/>
        <v>0</v>
      </c>
      <c r="L60" s="22">
        <f t="shared" si="38"/>
        <v>0</v>
      </c>
      <c r="M60" s="22">
        <f t="shared" si="38"/>
        <v>0</v>
      </c>
      <c r="N60" s="22">
        <f t="shared" si="38"/>
        <v>0</v>
      </c>
      <c r="O60" s="22">
        <f t="shared" si="38"/>
        <v>0</v>
      </c>
      <c r="P60" s="22">
        <f t="shared" si="38"/>
        <v>0</v>
      </c>
      <c r="Q60" s="22">
        <f t="shared" si="38"/>
        <v>0</v>
      </c>
      <c r="R60" s="22">
        <f t="shared" si="38"/>
        <v>0</v>
      </c>
      <c r="S60" s="22">
        <f t="shared" si="38"/>
        <v>0</v>
      </c>
      <c r="T60" s="22">
        <f>T59</f>
        <v>650000</v>
      </c>
      <c r="U60" s="22" t="e">
        <f>U59</f>
        <v>#REF!</v>
      </c>
      <c r="V60" s="22" t="e">
        <f>V59</f>
        <v>#REF!</v>
      </c>
    </row>
    <row r="61" spans="1:23" ht="24.75" x14ac:dyDescent="0.25">
      <c r="A61" s="27"/>
      <c r="B61" s="27" t="s">
        <v>55</v>
      </c>
      <c r="C61" s="54" t="s">
        <v>56</v>
      </c>
      <c r="D61" s="10" t="s">
        <v>63</v>
      </c>
      <c r="E61" s="3"/>
      <c r="F61" s="3">
        <v>55675</v>
      </c>
      <c r="G61" s="3">
        <v>50000</v>
      </c>
      <c r="H61" s="35"/>
      <c r="I61" s="3"/>
      <c r="J61" s="4"/>
      <c r="K61" s="4"/>
      <c r="L61" s="4"/>
      <c r="M61" s="4"/>
      <c r="N61" s="4"/>
      <c r="O61" s="35"/>
      <c r="P61" s="4"/>
      <c r="Q61" s="4"/>
      <c r="R61" s="4"/>
      <c r="S61" s="35"/>
      <c r="T61" s="1">
        <f>E61+F61+G61+H61+I61+J61+K61+L61+M61+N61+O61+P61+Q61+R61+S61</f>
        <v>105675</v>
      </c>
      <c r="U61" s="38" t="e">
        <f>#REF!+#REF!+#REF!+#REF!+#REF!+#REF!+#REF!</f>
        <v>#REF!</v>
      </c>
      <c r="V61" s="38" t="e">
        <f>#REF!+#REF!+#REF!+#REF!+#REF!+#REF!+#REF!+#REF!+#REF!+#REF!+#REF!+#REF!+#REF!+#REF!</f>
        <v>#REF!</v>
      </c>
    </row>
    <row r="62" spans="1:23" ht="33" x14ac:dyDescent="0.25">
      <c r="A62" s="27"/>
      <c r="B62" s="27"/>
      <c r="C62" s="54"/>
      <c r="D62" s="10" t="s">
        <v>64</v>
      </c>
      <c r="E62" s="3"/>
      <c r="F62" s="3">
        <v>400000</v>
      </c>
      <c r="G62" s="3"/>
      <c r="H62" s="4"/>
      <c r="I62" s="3">
        <v>100000</v>
      </c>
      <c r="J62" s="4"/>
      <c r="K62" s="4"/>
      <c r="L62" s="4"/>
      <c r="M62" s="4"/>
      <c r="N62" s="4"/>
      <c r="O62" s="4"/>
      <c r="P62" s="4"/>
      <c r="Q62" s="4"/>
      <c r="R62" s="4"/>
      <c r="S62" s="19"/>
      <c r="T62" s="1">
        <f>E62+F62+G62+H62+I62+J62+K62+L62+M62+N62+O62+P62+Q62+R62+S62</f>
        <v>500000</v>
      </c>
      <c r="U62" s="38" t="e">
        <f>#REF!+#REF!+#REF!+#REF!+#REF!+#REF!+#REF!</f>
        <v>#REF!</v>
      </c>
      <c r="V62" s="38" t="e">
        <f>#REF!+#REF!+#REF!+#REF!+#REF!+#REF!+#REF!+#REF!+#REF!+#REF!+#REF!+#REF!+#REF!+#REF!</f>
        <v>#REF!</v>
      </c>
    </row>
    <row r="63" spans="1:23" ht="16.5" x14ac:dyDescent="0.25">
      <c r="A63" s="27"/>
      <c r="B63" s="27"/>
      <c r="C63" s="54"/>
      <c r="D63" s="10" t="s">
        <v>66</v>
      </c>
      <c r="E63" s="3"/>
      <c r="F63" s="3">
        <v>193000</v>
      </c>
      <c r="G63" s="3"/>
      <c r="H63" s="4"/>
      <c r="I63" s="3"/>
      <c r="J63" s="4"/>
      <c r="K63" s="4"/>
      <c r="L63" s="4"/>
      <c r="M63" s="4"/>
      <c r="N63" s="4"/>
      <c r="O63" s="4"/>
      <c r="P63" s="4"/>
      <c r="Q63" s="4"/>
      <c r="R63" s="4"/>
      <c r="S63" s="19"/>
      <c r="T63" s="1">
        <f>E63+F63+G63+H63+I63+J63+K63+L63+M63+N63+O63+P63+Q63+R63+S63</f>
        <v>193000</v>
      </c>
      <c r="U63" s="38" t="e">
        <f>#REF!+#REF!+#REF!+#REF!+#REF!+#REF!+#REF!</f>
        <v>#REF!</v>
      </c>
      <c r="V63" s="38" t="e">
        <f>#REF!+#REF!+#REF!+#REF!+#REF!+#REF!+#REF!+#REF!+#REF!+#REF!+#REF!+#REF!+#REF!+#REF!</f>
        <v>#REF!</v>
      </c>
    </row>
    <row r="64" spans="1:23" ht="16.5" x14ac:dyDescent="0.25">
      <c r="A64" s="27"/>
      <c r="B64" s="27"/>
      <c r="C64" s="54"/>
      <c r="D64" s="10" t="s">
        <v>67</v>
      </c>
      <c r="E64" s="3">
        <v>200000</v>
      </c>
      <c r="F64" s="3">
        <v>700000</v>
      </c>
      <c r="G64" s="3"/>
      <c r="H64" s="4">
        <f>1051209.719</f>
        <v>1051209.719</v>
      </c>
      <c r="I64" s="3"/>
      <c r="J64" s="4"/>
      <c r="K64" s="4"/>
      <c r="L64" s="4"/>
      <c r="M64" s="4"/>
      <c r="N64" s="4"/>
      <c r="P64" s="4"/>
      <c r="Q64" s="4"/>
      <c r="R64" s="4"/>
      <c r="S64" s="19">
        <v>1300000</v>
      </c>
      <c r="T64" s="1">
        <f>E64+F64+G64+H64+I64+J64+K64+L64+M64+N64+O64+P64+Q64+R64+S64</f>
        <v>3251209.719</v>
      </c>
      <c r="U64" s="38" t="e">
        <f>#REF!+#REF!+#REF!+#REF!+#REF!+#REF!+#REF!</f>
        <v>#REF!</v>
      </c>
      <c r="V64" s="38" t="e">
        <f>#REF!+#REF!+#REF!+#REF!+#REF!+#REF!+#REF!+#REF!+#REF!+#REF!+#REF!+#REF!+#REF!+#REF!</f>
        <v>#REF!</v>
      </c>
    </row>
    <row r="65" spans="1:22" x14ac:dyDescent="0.25">
      <c r="A65" s="27"/>
      <c r="B65" s="27"/>
      <c r="C65" s="54"/>
      <c r="D65" s="10" t="s">
        <v>111</v>
      </c>
      <c r="E65" s="3"/>
      <c r="F65" s="3">
        <v>49000</v>
      </c>
      <c r="G65" s="3"/>
      <c r="H65" s="4"/>
      <c r="I65" s="3"/>
      <c r="J65" s="4"/>
      <c r="K65" s="4"/>
      <c r="L65" s="4"/>
      <c r="M65" s="4"/>
      <c r="N65" s="4"/>
      <c r="O65" s="4">
        <v>57038.5</v>
      </c>
      <c r="P65" s="4"/>
      <c r="Q65" s="4"/>
      <c r="R65" s="4"/>
      <c r="S65" s="19"/>
      <c r="T65" s="1">
        <f>SUM(E65:S65)</f>
        <v>106038.5</v>
      </c>
      <c r="U65" s="38" t="e">
        <f>#REF!+#REF!+#REF!+#REF!+#REF!+#REF!+#REF!</f>
        <v>#REF!</v>
      </c>
      <c r="V65" s="38" t="e">
        <f>#REF!+#REF!+#REF!+#REF!+#REF!+#REF!+#REF!+#REF!+#REF!+#REF!+#REF!+#REF!+#REF!+#REF!</f>
        <v>#REF!</v>
      </c>
    </row>
    <row r="66" spans="1:22" x14ac:dyDescent="0.25">
      <c r="A66" s="27"/>
      <c r="B66" s="27"/>
      <c r="C66" s="54"/>
      <c r="D66" s="10" t="s">
        <v>68</v>
      </c>
      <c r="E66" s="3"/>
      <c r="F66" s="3">
        <v>81975</v>
      </c>
      <c r="G66" s="3"/>
      <c r="H66" s="4"/>
      <c r="I66" s="3"/>
      <c r="J66" s="4"/>
      <c r="K66" s="4"/>
      <c r="L66" s="4"/>
      <c r="M66" s="4"/>
      <c r="N66" s="4"/>
      <c r="O66" s="4"/>
      <c r="P66" s="4"/>
      <c r="Q66" s="4"/>
      <c r="R66" s="4"/>
      <c r="S66" s="19"/>
      <c r="T66" s="1">
        <f>E66+F66+G66+H66+I66+J66+K66+L66+M66+N66+O66+P66+Q66+R66+S66</f>
        <v>81975</v>
      </c>
      <c r="U66" s="38" t="e">
        <f>#REF!+#REF!+#REF!+#REF!+#REF!+#REF!+#REF!</f>
        <v>#REF!</v>
      </c>
      <c r="V66" s="38" t="e">
        <f>#REF!+#REF!+#REF!+#REF!+#REF!+#REF!+#REF!+#REF!+#REF!+#REF!+#REF!+#REF!+#REF!+#REF!</f>
        <v>#REF!</v>
      </c>
    </row>
    <row r="67" spans="1:22" ht="16.5" x14ac:dyDescent="0.25">
      <c r="A67" s="27"/>
      <c r="B67" s="27"/>
      <c r="C67" s="54"/>
      <c r="D67" s="10" t="s">
        <v>69</v>
      </c>
      <c r="E67" s="3"/>
      <c r="F67" s="3">
        <v>320000</v>
      </c>
      <c r="G67" s="3"/>
      <c r="H67" s="4"/>
      <c r="I67" s="3">
        <v>180000</v>
      </c>
      <c r="J67" s="4"/>
      <c r="K67" s="4"/>
      <c r="L67" s="4"/>
      <c r="M67" s="4"/>
      <c r="N67" s="4"/>
      <c r="O67" s="4"/>
      <c r="P67" s="4"/>
      <c r="Q67" s="4"/>
      <c r="R67" s="4"/>
      <c r="S67" s="19"/>
      <c r="T67" s="1">
        <f>E67+F67+G67+H67+I67+J67+K67+L67+M67+N67+O67+P67+Q67+R67+S67</f>
        <v>500000</v>
      </c>
      <c r="U67" s="38" t="e">
        <f>#REF!+#REF!+#REF!+#REF!+#REF!+#REF!+#REF!</f>
        <v>#REF!</v>
      </c>
      <c r="V67" s="38" t="e">
        <f>#REF!+#REF!+#REF!+#REF!+#REF!+#REF!+#REF!+#REF!+#REF!+#REF!+#REF!+#REF!+#REF!+#REF!</f>
        <v>#REF!</v>
      </c>
    </row>
    <row r="68" spans="1:22" ht="16.5" x14ac:dyDescent="0.25">
      <c r="A68" s="27"/>
      <c r="B68" s="27"/>
      <c r="C68" s="54"/>
      <c r="D68" s="10" t="s">
        <v>113</v>
      </c>
      <c r="E68" s="3"/>
      <c r="F68" s="3">
        <v>210424</v>
      </c>
      <c r="G68" s="3">
        <v>78326.101999999999</v>
      </c>
      <c r="H68" s="4"/>
      <c r="I68" s="3"/>
      <c r="J68" s="4"/>
      <c r="K68" s="4"/>
      <c r="L68" s="4"/>
      <c r="M68" s="4"/>
      <c r="N68" s="4"/>
      <c r="O68" s="4"/>
      <c r="P68" s="4"/>
      <c r="Q68" s="4"/>
      <c r="R68" s="4"/>
      <c r="S68" s="19"/>
      <c r="T68" s="1">
        <f>E68+F68+G68+H68+I68+J68+K68+L68+M68+N68+O68+P68+Q68+R68+S68</f>
        <v>288750.10200000001</v>
      </c>
      <c r="U68" s="38" t="e">
        <f>#REF!+#REF!+#REF!+#REF!+#REF!+#REF!+#REF!</f>
        <v>#REF!</v>
      </c>
      <c r="V68" s="38" t="e">
        <f>#REF!+#REF!+#REF!+#REF!+#REF!+#REF!+#REF!+#REF!+#REF!+#REF!+#REF!+#REF!+#REF!+#REF!</f>
        <v>#REF!</v>
      </c>
    </row>
    <row r="69" spans="1:22" ht="16.5" x14ac:dyDescent="0.25">
      <c r="A69" s="27"/>
      <c r="B69" s="27"/>
      <c r="C69" s="54"/>
      <c r="D69" s="10" t="s">
        <v>70</v>
      </c>
      <c r="E69" s="3">
        <v>75000</v>
      </c>
      <c r="F69" s="3">
        <v>109800</v>
      </c>
      <c r="G69" s="3"/>
      <c r="H69" s="4"/>
      <c r="I69" s="3"/>
      <c r="J69" s="4"/>
      <c r="K69" s="4"/>
      <c r="L69" s="4"/>
      <c r="M69" s="4"/>
      <c r="N69" s="4"/>
      <c r="O69" s="4"/>
      <c r="P69" s="4"/>
      <c r="Q69" s="4"/>
      <c r="R69" s="4"/>
      <c r="S69" s="19"/>
      <c r="T69" s="1">
        <f>E69+F69+G69+H69+I69+J69+K69+L69+M69+N69+O69+P69+Q69+R69+S69</f>
        <v>184800</v>
      </c>
      <c r="U69" s="38" t="e">
        <f>#REF!+#REF!+#REF!+#REF!+#REF!+#REF!+#REF!</f>
        <v>#REF!</v>
      </c>
      <c r="V69" s="38" t="e">
        <f>#REF!+#REF!+#REF!+#REF!+#REF!+#REF!+#REF!+#REF!+#REF!+#REF!+#REF!+#REF!+#REF!+#REF!</f>
        <v>#REF!</v>
      </c>
    </row>
    <row r="70" spans="1:22" ht="16.5" x14ac:dyDescent="0.25">
      <c r="A70" s="27"/>
      <c r="B70" s="27"/>
      <c r="C70" s="54"/>
      <c r="D70" s="10" t="s">
        <v>112</v>
      </c>
      <c r="E70" s="3"/>
      <c r="F70" s="3">
        <v>196350</v>
      </c>
      <c r="G70" s="3"/>
      <c r="H70" s="4"/>
      <c r="I70" s="3"/>
      <c r="J70" s="4"/>
      <c r="K70" s="4"/>
      <c r="L70" s="4"/>
      <c r="M70" s="4"/>
      <c r="N70" s="4"/>
      <c r="O70" s="4"/>
      <c r="P70" s="4"/>
      <c r="Q70" s="4"/>
      <c r="R70" s="4"/>
      <c r="S70" s="19"/>
      <c r="T70" s="1">
        <f>E70+F70+G70+H70+I70+J70+K70+L70+M70+N70+O70+P70+Q70+R70+S70</f>
        <v>196350</v>
      </c>
      <c r="U70" s="38" t="e">
        <f>#REF!+#REF!+#REF!+#REF!+#REF!+#REF!+#REF!</f>
        <v>#REF!</v>
      </c>
      <c r="V70" s="38" t="e">
        <f>#REF!+#REF!+#REF!+#REF!+#REF!+#REF!+#REF!+#REF!+#REF!+#REF!+#REF!+#REF!+#REF!+#REF!</f>
        <v>#REF!</v>
      </c>
    </row>
    <row r="71" spans="1:22" ht="24.75" x14ac:dyDescent="0.25">
      <c r="A71" s="27"/>
      <c r="B71" s="27"/>
      <c r="C71" s="54"/>
      <c r="D71" s="10" t="s">
        <v>71</v>
      </c>
      <c r="E71" s="3">
        <v>125000</v>
      </c>
      <c r="F71" s="3">
        <v>325000</v>
      </c>
      <c r="G71" s="3"/>
      <c r="H71" s="4"/>
      <c r="I71" s="3">
        <v>300000</v>
      </c>
      <c r="J71" s="4"/>
      <c r="K71" s="4"/>
      <c r="L71" s="4"/>
      <c r="M71" s="4"/>
      <c r="N71" s="4"/>
      <c r="O71" s="4"/>
      <c r="P71" s="4"/>
      <c r="Q71" s="4"/>
      <c r="R71" s="4"/>
      <c r="S71" s="19"/>
      <c r="T71" s="1">
        <f>E71+F71+G71+H71+I71+J71+K71+L71+M71+N71+O71+P71+Q71+R71+S71</f>
        <v>750000</v>
      </c>
      <c r="U71" s="38" t="e">
        <f>#REF!+#REF!+#REF!+#REF!+#REF!+#REF!+#REF!</f>
        <v>#REF!</v>
      </c>
      <c r="V71" s="38" t="e">
        <f>#REF!+#REF!+#REF!+#REF!+#REF!+#REF!+#REF!+#REF!+#REF!+#REF!+#REF!+#REF!+#REF!+#REF!</f>
        <v>#REF!</v>
      </c>
    </row>
    <row r="72" spans="1:22" ht="33" x14ac:dyDescent="0.25">
      <c r="A72" s="27"/>
      <c r="B72" s="27"/>
      <c r="C72" s="54"/>
      <c r="D72" s="10" t="s">
        <v>72</v>
      </c>
      <c r="E72" s="3"/>
      <c r="F72" s="3">
        <v>215700</v>
      </c>
      <c r="G72" s="3"/>
      <c r="H72" s="4"/>
      <c r="I72" s="3"/>
      <c r="J72" s="4"/>
      <c r="K72" s="4"/>
      <c r="L72" s="4"/>
      <c r="M72" s="4"/>
      <c r="N72" s="4"/>
      <c r="O72" s="4"/>
      <c r="P72" s="4"/>
      <c r="Q72" s="4"/>
      <c r="R72" s="4"/>
      <c r="S72" s="19"/>
      <c r="T72" s="1">
        <f>E72+F72+G72+H72+I72+J72+K72+L72+M72+N72+O72+P72+Q72+R72+S72</f>
        <v>215700</v>
      </c>
      <c r="U72" s="38" t="e">
        <f>#REF!+#REF!+#REF!+#REF!+#REF!+#REF!+#REF!</f>
        <v>#REF!</v>
      </c>
      <c r="V72" s="38" t="e">
        <f>#REF!+#REF!+#REF!+#REF!+#REF!+#REF!+#REF!+#REF!+#REF!+#REF!+#REF!+#REF!+#REF!+#REF!</f>
        <v>#REF!</v>
      </c>
    </row>
    <row r="73" spans="1:22" ht="24.75" x14ac:dyDescent="0.25">
      <c r="A73" s="27"/>
      <c r="B73" s="27"/>
      <c r="C73" s="54"/>
      <c r="D73" s="10" t="s">
        <v>116</v>
      </c>
      <c r="E73" s="3">
        <v>92251.365999999995</v>
      </c>
      <c r="F73" s="3">
        <f>170573.378+(51311029.62+275)/1000</f>
        <v>221884.68261999998</v>
      </c>
      <c r="G73" s="3"/>
      <c r="H73" s="4"/>
      <c r="I73" s="3"/>
      <c r="J73" s="4"/>
      <c r="K73" s="4"/>
      <c r="L73" s="4"/>
      <c r="M73" s="4"/>
      <c r="N73" s="4"/>
      <c r="O73" s="4"/>
      <c r="P73" s="4"/>
      <c r="Q73" s="4"/>
      <c r="R73" s="4"/>
      <c r="S73" s="19"/>
      <c r="T73" s="1">
        <f>E73+F73+G73+H73+I73+J73+K73+L73+M73+N73+O73+P73+Q73+R73+S73</f>
        <v>314136.04861999996</v>
      </c>
      <c r="U73" s="38" t="e">
        <f>#REF!+#REF!+#REF!+#REF!+#REF!+#REF!+#REF!</f>
        <v>#REF!</v>
      </c>
      <c r="V73" s="38" t="e">
        <f>#REF!+#REF!+#REF!+#REF!+#REF!+#REF!+#REF!+#REF!+#REF!+#REF!+#REF!+#REF!+#REF!+#REF!</f>
        <v>#REF!</v>
      </c>
    </row>
    <row r="74" spans="1:22" ht="16.5" x14ac:dyDescent="0.25">
      <c r="A74" s="27"/>
      <c r="B74" s="27"/>
      <c r="C74" s="54"/>
      <c r="D74" s="10" t="s">
        <v>114</v>
      </c>
      <c r="E74" s="3"/>
      <c r="F74" s="3">
        <v>75075</v>
      </c>
      <c r="G74" s="3"/>
      <c r="H74" s="4"/>
      <c r="I74" s="3"/>
      <c r="J74" s="4"/>
      <c r="K74" s="4"/>
      <c r="L74" s="4"/>
      <c r="M74" s="4"/>
      <c r="N74" s="4"/>
      <c r="O74" s="4"/>
      <c r="P74" s="4"/>
      <c r="Q74" s="4"/>
      <c r="R74" s="4"/>
      <c r="S74" s="19"/>
      <c r="T74" s="1">
        <f>E74+F74+G74+H74+I74+J74+K74+L74+M74+N74+O74+P74+Q74+R74+S74</f>
        <v>75075</v>
      </c>
      <c r="U74" s="38" t="e">
        <f>#REF!+#REF!+#REF!+#REF!+#REF!+#REF!+#REF!</f>
        <v>#REF!</v>
      </c>
      <c r="V74" s="38" t="e">
        <f>#REF!+#REF!+#REF!+#REF!+#REF!+#REF!+#REF!+#REF!+#REF!+#REF!+#REF!+#REF!+#REF!+#REF!</f>
        <v>#REF!</v>
      </c>
    </row>
    <row r="75" spans="1:22" ht="24.75" x14ac:dyDescent="0.25">
      <c r="A75" s="27"/>
      <c r="B75" s="27"/>
      <c r="C75" s="54"/>
      <c r="D75" s="10" t="s">
        <v>115</v>
      </c>
      <c r="E75" s="3"/>
      <c r="F75" s="3">
        <v>63525</v>
      </c>
      <c r="G75" s="3"/>
      <c r="H75" s="4"/>
      <c r="I75" s="3"/>
      <c r="J75" s="4"/>
      <c r="K75" s="4"/>
      <c r="L75" s="4"/>
      <c r="M75" s="4"/>
      <c r="N75" s="4"/>
      <c r="O75" s="4"/>
      <c r="P75" s="4"/>
      <c r="Q75" s="4"/>
      <c r="R75" s="4"/>
      <c r="S75" s="19"/>
      <c r="T75" s="1">
        <f>E75+F75+G75+H75+I75+J75+K75+L75+M75+N75+O75+P75+Q75+R75+S75</f>
        <v>63525</v>
      </c>
      <c r="U75" s="38" t="e">
        <f>#REF!+#REF!+#REF!+#REF!+#REF!+#REF!+#REF!</f>
        <v>#REF!</v>
      </c>
      <c r="V75" s="38" t="e">
        <f>#REF!+#REF!+#REF!+#REF!+#REF!+#REF!+#REF!+#REF!+#REF!+#REF!+#REF!+#REF!+#REF!+#REF!</f>
        <v>#REF!</v>
      </c>
    </row>
    <row r="76" spans="1:22" x14ac:dyDescent="0.25">
      <c r="A76" s="27"/>
      <c r="B76" s="27"/>
      <c r="C76" s="33" t="s">
        <v>18</v>
      </c>
      <c r="D76" s="33"/>
      <c r="E76" s="22">
        <f t="shared" ref="E76:G76" si="39">SUM(E61:E75)</f>
        <v>492251.36599999998</v>
      </c>
      <c r="F76" s="22">
        <f t="shared" si="39"/>
        <v>3217408.6826200001</v>
      </c>
      <c r="G76" s="22">
        <f t="shared" si="39"/>
        <v>128326.102</v>
      </c>
      <c r="H76" s="22">
        <f>SUM(H62:H75)</f>
        <v>1051209.719</v>
      </c>
      <c r="I76" s="22">
        <f t="shared" ref="I76:N76" si="40">SUM(I61:I75)</f>
        <v>580000</v>
      </c>
      <c r="J76" s="22">
        <f t="shared" si="40"/>
        <v>0</v>
      </c>
      <c r="K76" s="22">
        <f t="shared" si="40"/>
        <v>0</v>
      </c>
      <c r="L76" s="22">
        <f t="shared" si="40"/>
        <v>0</v>
      </c>
      <c r="M76" s="22">
        <f t="shared" si="40"/>
        <v>0</v>
      </c>
      <c r="N76" s="22">
        <f t="shared" si="40"/>
        <v>0</v>
      </c>
      <c r="O76" s="22">
        <f>SUM(O62:O75)</f>
        <v>57038.5</v>
      </c>
      <c r="P76" s="22">
        <f t="shared" ref="P76:R76" si="41">SUM(P61:P75)</f>
        <v>0</v>
      </c>
      <c r="Q76" s="22">
        <f t="shared" si="41"/>
        <v>0</v>
      </c>
      <c r="R76" s="22">
        <f t="shared" si="41"/>
        <v>0</v>
      </c>
      <c r="S76" s="22">
        <f>SUM(S62:S75)</f>
        <v>1300000</v>
      </c>
      <c r="T76" s="22">
        <f>SUM(T61:T75)</f>
        <v>6826234.36962</v>
      </c>
      <c r="U76" s="22" t="e">
        <f>SUM(U61:U75)</f>
        <v>#REF!</v>
      </c>
      <c r="V76" s="22" t="e">
        <f>SUM(V61:V75)</f>
        <v>#REF!</v>
      </c>
    </row>
    <row r="77" spans="1:22" x14ac:dyDescent="0.25">
      <c r="A77" s="27"/>
      <c r="B77" s="51" t="s">
        <v>27</v>
      </c>
      <c r="C77" s="52"/>
      <c r="D77" s="53"/>
      <c r="E77" s="46">
        <f t="shared" ref="E77:V77" si="42">E60+E76</f>
        <v>892251.36599999992</v>
      </c>
      <c r="F77" s="46">
        <f t="shared" si="42"/>
        <v>3217408.6826200001</v>
      </c>
      <c r="G77" s="46">
        <f t="shared" si="42"/>
        <v>128326.102</v>
      </c>
      <c r="H77" s="46">
        <f t="shared" si="42"/>
        <v>1051209.719</v>
      </c>
      <c r="I77" s="46">
        <f t="shared" si="42"/>
        <v>830000</v>
      </c>
      <c r="J77" s="46">
        <f t="shared" si="42"/>
        <v>0</v>
      </c>
      <c r="K77" s="46">
        <f t="shared" si="42"/>
        <v>0</v>
      </c>
      <c r="L77" s="46">
        <f t="shared" si="42"/>
        <v>0</v>
      </c>
      <c r="M77" s="46">
        <f t="shared" si="42"/>
        <v>0</v>
      </c>
      <c r="N77" s="46">
        <f t="shared" si="42"/>
        <v>0</v>
      </c>
      <c r="O77" s="47">
        <f t="shared" si="42"/>
        <v>57038.5</v>
      </c>
      <c r="P77" s="46">
        <f t="shared" si="42"/>
        <v>0</v>
      </c>
      <c r="Q77" s="46">
        <f t="shared" si="42"/>
        <v>0</v>
      </c>
      <c r="R77" s="46">
        <f t="shared" si="42"/>
        <v>0</v>
      </c>
      <c r="S77" s="46">
        <f t="shared" si="42"/>
        <v>1300000</v>
      </c>
      <c r="T77" s="46">
        <f t="shared" si="42"/>
        <v>7476234.36962</v>
      </c>
      <c r="U77" s="46" t="e">
        <f t="shared" si="42"/>
        <v>#REF!</v>
      </c>
      <c r="V77" s="46" t="e">
        <f t="shared" si="42"/>
        <v>#REF!</v>
      </c>
    </row>
    <row r="78" spans="1:22" x14ac:dyDescent="0.25">
      <c r="A78" s="51" t="s">
        <v>57</v>
      </c>
      <c r="B78" s="52"/>
      <c r="C78" s="52"/>
      <c r="D78" s="53"/>
      <c r="E78" s="15">
        <f>E77+E58+E52+E30+E22</f>
        <v>311029184.38600004</v>
      </c>
      <c r="F78" s="15">
        <f t="shared" ref="F78" si="43">F77+F58+F52+F30+F22</f>
        <v>26584569.558620092</v>
      </c>
      <c r="G78" s="15">
        <f t="shared" ref="G78" si="44">G77+G58+G52+G30+G22</f>
        <v>8237768.1359999999</v>
      </c>
      <c r="H78" s="15">
        <f t="shared" ref="H78" si="45">H77+H58+H52+H30+H22</f>
        <v>39065264.405000001</v>
      </c>
      <c r="I78" s="15">
        <f t="shared" ref="I78" si="46">I77+I58+I52+I30+I22</f>
        <v>4559440</v>
      </c>
      <c r="J78" s="15">
        <f t="shared" ref="J78" si="47">J77+J58+J52+J30+J22</f>
        <v>3502158.2080000001</v>
      </c>
      <c r="K78" s="15">
        <f t="shared" ref="K78" si="48">K77+K58+K52+K30+K22</f>
        <v>4377697.76</v>
      </c>
      <c r="L78" s="15">
        <f t="shared" ref="L78" si="49">L77+L58+L52+L30+L22</f>
        <v>500000</v>
      </c>
      <c r="M78" s="15">
        <f>M77+M58+M52+M30+M22</f>
        <v>19844787.300999999</v>
      </c>
      <c r="N78" s="15">
        <f t="shared" ref="N78" si="50">N77+N58+N52+N30+N22</f>
        <v>7672720.7139999997</v>
      </c>
      <c r="O78" s="21">
        <f t="shared" ref="O78" si="51">O77+O58+O52+O30+O22</f>
        <v>138585826.24699998</v>
      </c>
      <c r="P78" s="15">
        <f t="shared" ref="P78" si="52">P77+P58+P52+P30+P22</f>
        <v>38860199.473580003</v>
      </c>
      <c r="Q78" s="15">
        <f t="shared" ref="Q78" si="53">Q77+Q58+Q52+Q30+Q22</f>
        <v>26100000</v>
      </c>
      <c r="R78" s="15">
        <f t="shared" ref="R78" si="54">R77+R58+R52+R30+R22</f>
        <v>840000</v>
      </c>
      <c r="S78" s="15">
        <f t="shared" ref="S78" si="55">S77+S58+S52+S30+S22</f>
        <v>72830918.917849988</v>
      </c>
      <c r="T78" s="15">
        <f>T77+T58+T52+T30+T22</f>
        <v>702590535.10704994</v>
      </c>
      <c r="U78" s="15" t="e">
        <f>(U77+U58+U52+U30+U22)</f>
        <v>#REF!</v>
      </c>
      <c r="V78" s="15" t="e">
        <f>(V77+V58+V52+V30+V22)</f>
        <v>#REF!</v>
      </c>
    </row>
    <row r="128" spans="20:20" x14ac:dyDescent="0.25">
      <c r="T128" s="17" t="e">
        <f>+T78-#REF!</f>
        <v>#REF!</v>
      </c>
    </row>
    <row r="129" spans="19:20" x14ac:dyDescent="0.25">
      <c r="T129" s="18">
        <f>695158901760.43/1000</f>
        <v>695158901.7604301</v>
      </c>
    </row>
    <row r="130" spans="19:20" x14ac:dyDescent="0.25">
      <c r="T130" s="17">
        <f>+T78-T129</f>
        <v>7431633.3466198444</v>
      </c>
    </row>
    <row r="132" spans="19:20" x14ac:dyDescent="0.25">
      <c r="S132" s="17">
        <f>+S78</f>
        <v>72830918.917849988</v>
      </c>
    </row>
    <row r="133" spans="19:20" x14ac:dyDescent="0.25">
      <c r="S133" s="20">
        <f>+S5</f>
        <v>9998961.6030000001</v>
      </c>
    </row>
    <row r="134" spans="19:20" x14ac:dyDescent="0.25">
      <c r="S134" s="23">
        <f>+S132-S133</f>
        <v>62831957.314849988</v>
      </c>
    </row>
  </sheetData>
  <mergeCells count="64">
    <mergeCell ref="A78:D78"/>
    <mergeCell ref="R1:R2"/>
    <mergeCell ref="S1:S2"/>
    <mergeCell ref="T1:T2"/>
    <mergeCell ref="B77:D77"/>
    <mergeCell ref="B52:D52"/>
    <mergeCell ref="B30:D30"/>
    <mergeCell ref="C22:D22"/>
    <mergeCell ref="B58:D58"/>
    <mergeCell ref="M1:M2"/>
    <mergeCell ref="N1:N2"/>
    <mergeCell ref="O1:O2"/>
    <mergeCell ref="P1:P2"/>
    <mergeCell ref="Q1:Q2"/>
    <mergeCell ref="A31:A52"/>
    <mergeCell ref="B31:B33"/>
    <mergeCell ref="B34:B39"/>
    <mergeCell ref="B40:B41"/>
    <mergeCell ref="B42:B43"/>
    <mergeCell ref="B44:B48"/>
    <mergeCell ref="C34:C37"/>
    <mergeCell ref="C44:C45"/>
    <mergeCell ref="C48:D48"/>
    <mergeCell ref="C33:D33"/>
    <mergeCell ref="C46:C47"/>
    <mergeCell ref="D1:D2"/>
    <mergeCell ref="C7:C8"/>
    <mergeCell ref="C11:C12"/>
    <mergeCell ref="B49:B51"/>
    <mergeCell ref="A53:A58"/>
    <mergeCell ref="B53:B57"/>
    <mergeCell ref="A59:A77"/>
    <mergeCell ref="B59:B60"/>
    <mergeCell ref="B61:B76"/>
    <mergeCell ref="A1:A2"/>
    <mergeCell ref="A23:A30"/>
    <mergeCell ref="A3:A22"/>
    <mergeCell ref="B3:B4"/>
    <mergeCell ref="B7:B10"/>
    <mergeCell ref="B11:B13"/>
    <mergeCell ref="B14:B21"/>
    <mergeCell ref="B1:B2"/>
    <mergeCell ref="C1:C2"/>
    <mergeCell ref="C4:D4"/>
    <mergeCell ref="C6:D6"/>
    <mergeCell ref="C10:D10"/>
    <mergeCell ref="F1:L1"/>
    <mergeCell ref="E1:E2"/>
    <mergeCell ref="C13:D13"/>
    <mergeCell ref="C21:D21"/>
    <mergeCell ref="B23:B27"/>
    <mergeCell ref="B28:B29"/>
    <mergeCell ref="C25:C26"/>
    <mergeCell ref="C27:D27"/>
    <mergeCell ref="C29:D29"/>
    <mergeCell ref="C76:D76"/>
    <mergeCell ref="C61:C75"/>
    <mergeCell ref="C49:C50"/>
    <mergeCell ref="C39:D39"/>
    <mergeCell ref="C41:D41"/>
    <mergeCell ref="C43:D43"/>
    <mergeCell ref="C57:D57"/>
    <mergeCell ref="C60:D60"/>
    <mergeCell ref="C51:D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INVERSION POR DEPENDENC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Diaz</dc:creator>
  <cp:lastModifiedBy>Hewlett-Packard Company</cp:lastModifiedBy>
  <dcterms:created xsi:type="dcterms:W3CDTF">2017-11-17T13:47:04Z</dcterms:created>
  <dcterms:modified xsi:type="dcterms:W3CDTF">2018-11-16T16:18:57Z</dcterms:modified>
</cp:coreProperties>
</file>